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4. Sales Forecast" sheetId="3" state="visible" r:id="rId3"/>
    <sheet xmlns:r="http://schemas.openxmlformats.org/officeDocument/2006/relationships" name="Revenue Share" sheetId="4" state="visible" r:id="rId4"/>
    <sheet xmlns:r="http://schemas.openxmlformats.org/officeDocument/2006/relationships" name="5. Cash Flow (Monthly Yr 1)" sheetId="5" state="visible" r:id="rId5"/>
    <sheet xmlns:r="http://schemas.openxmlformats.org/officeDocument/2006/relationships" name="7. Income Statement" sheetId="6" state="visible" r:id="rId6"/>
    <sheet xmlns:r="http://schemas.openxmlformats.org/officeDocument/2006/relationships" name="16. Three Year Summary" sheetId="7" state="visible" r:id="rId7"/>
    <sheet xmlns:r="http://schemas.openxmlformats.org/officeDocument/2006/relationships" name="17. Breakeven" sheetId="8" state="visible" r:id="rId8"/>
    <sheet xmlns:r="http://schemas.openxmlformats.org/officeDocument/2006/relationships" name="19. Ratio Analysis" sheetId="9" state="visible" r:id="rId9"/>
    <sheet xmlns:r="http://schemas.openxmlformats.org/officeDocument/2006/relationships" name="20. Diagnostic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">
    <numFmt numFmtId="164" formatCode="\$#,##0;&quot;($&quot;#,##0\);\-"/>
    <numFmt numFmtId="165" formatCode="0.0%"/>
  </numFmts>
  <fonts count="14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0E2A47"/>
      <sz val="14"/>
    </font>
    <font>
      <name val="Arial"/>
      <charset val="1"/>
      <family val="0"/>
      <sz val="10"/>
    </font>
    <font>
      <name val="Arial"/>
      <charset val="1"/>
      <family val="0"/>
      <i val="1"/>
      <color rgb="FF555555"/>
      <sz val="9"/>
    </font>
    <font>
      <name val="Arial"/>
      <charset val="1"/>
      <family val="0"/>
      <b val="1"/>
      <color rgb="FF0E2A47"/>
      <sz val="11"/>
    </font>
    <font>
      <name val="Arial"/>
      <charset val="1"/>
      <family val="0"/>
      <color rgb="FF0000FF"/>
      <sz val="10"/>
    </font>
    <font>
      <name val="Arial"/>
      <charset val="1"/>
      <family val="0"/>
      <b val="1"/>
      <sz val="10"/>
    </font>
    <font>
      <name val="Arial"/>
      <charset val="1"/>
      <family val="0"/>
      <i val="1"/>
      <color rgb="FF777777"/>
      <sz val="8"/>
    </font>
    <font>
      <name val="Arial"/>
      <charset val="1"/>
      <family val="0"/>
      <color rgb="FF008000"/>
      <sz val="10"/>
    </font>
    <font>
      <name val="Arial"/>
      <charset val="1"/>
      <family val="0"/>
      <b val="1"/>
      <color rgb="FF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E2A47"/>
        <bgColor rgb="FF333333"/>
      </patternFill>
    </fill>
  </fills>
  <borders count="1">
    <border>
      <left/>
      <right/>
      <top/>
      <bottom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8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8" fillId="2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2" fontId="8" fillId="2" borderId="0" applyAlignment="1" pivotButton="0" quotePrefix="0" xfId="0">
      <alignment horizontal="general" vertical="bottom"/>
    </xf>
    <xf numFmtId="2" fontId="5" fillId="0" borderId="0" applyAlignment="1" pivotButton="0" quotePrefix="0" xfId="0">
      <alignment horizontal="general" vertical="bottom"/>
    </xf>
    <xf numFmtId="164" fontId="8" fillId="2" borderId="0" applyAlignment="1" pivotButton="0" quotePrefix="0" xfId="0">
      <alignment horizontal="general" vertical="bottom"/>
    </xf>
    <xf numFmtId="165" fontId="8" fillId="2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164" fontId="9" fillId="0" borderId="0" applyAlignment="1" pivotButton="0" quotePrefix="0" xfId="0">
      <alignment horizontal="general" vertical="bottom"/>
    </xf>
    <xf numFmtId="164" fontId="11" fillId="0" borderId="0" applyAlignment="1" pivotButton="0" quotePrefix="0" xfId="0">
      <alignment horizontal="general" vertical="bottom"/>
    </xf>
    <xf numFmtId="0" fontId="12" fillId="3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164" fontId="5" fillId="0" borderId="0" applyAlignment="1" pivotButton="0" quotePrefix="0" xfId="0">
      <alignment horizontal="general" vertical="bottom"/>
    </xf>
    <xf numFmtId="165" fontId="5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2" fillId="3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164" fontId="5" fillId="0" borderId="0" applyAlignment="1" pivotButton="0" quotePrefix="0" xfId="0">
      <alignment horizontal="general" vertical="bottom"/>
    </xf>
    <xf numFmtId="164" fontId="11" fillId="0" borderId="0" applyAlignment="1" pivotButton="0" quotePrefix="0" xfId="0">
      <alignment horizontal="general" vertical="bottom"/>
    </xf>
    <xf numFmtId="164" fontId="9" fillId="0" borderId="0" applyAlignment="1" pivotButton="0" quotePrefix="0" xfId="0">
      <alignment horizontal="general" vertical="bottom"/>
    </xf>
    <xf numFmtId="165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13" fillId="0" borderId="0" pivotButton="0" quotePrefix="0" xfId="0"/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8" fillId="2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2" fontId="8" fillId="2" borderId="0" applyAlignment="1" pivotButton="0" quotePrefix="0" xfId="0">
      <alignment horizontal="general" vertical="bottom"/>
    </xf>
    <xf numFmtId="2" fontId="5" fillId="0" borderId="0" applyAlignment="1" pivotButton="0" quotePrefix="0" xfId="0">
      <alignment horizontal="general" vertical="bottom"/>
    </xf>
    <xf numFmtId="164" fontId="8" fillId="2" borderId="0" applyAlignment="1" pivotButton="0" quotePrefix="0" xfId="0">
      <alignment horizontal="general" vertical="bottom"/>
    </xf>
    <xf numFmtId="165" fontId="8" fillId="2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164" fontId="9" fillId="0" borderId="0" applyAlignment="1" pivotButton="0" quotePrefix="0" xfId="0">
      <alignment horizontal="general" vertical="bottom"/>
    </xf>
    <xf numFmtId="164" fontId="11" fillId="0" borderId="0" applyAlignment="1" pivotButton="0" quotePrefix="0" xfId="0">
      <alignment horizontal="general" vertical="bottom"/>
    </xf>
    <xf numFmtId="0" fontId="12" fillId="3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164" fontId="5" fillId="0" borderId="0" applyAlignment="1" pivotButton="0" quotePrefix="0" xfId="0">
      <alignment horizontal="general" vertical="bottom"/>
    </xf>
    <xf numFmtId="165" fontId="5" fillId="0" borderId="0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77777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E2A47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A20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5390625" defaultRowHeight="15" zeroHeight="0" outlineLevelRow="0"/>
  <cols>
    <col width="110" customWidth="1" style="28" min="1" max="1"/>
  </cols>
  <sheetData>
    <row r="1" ht="17.25" customHeight="1" s="29">
      <c r="A1" s="30" t="inlineStr">
        <is>
          <t>How to use this model</t>
        </is>
      </c>
    </row>
    <row r="2" ht="15" customHeight="1" s="29">
      <c r="A2" s="31" t="n"/>
    </row>
    <row r="3" ht="15" customHeight="1" s="29">
      <c r="A3" s="31" t="inlineStr">
        <is>
          <t>This workbook adapts the Alaska SBDC Financial Projection Model structure to The Daily Alaska's media business.</t>
        </is>
      </c>
    </row>
    <row r="4" ht="15" customHeight="1" s="29">
      <c r="A4" s="31" t="inlineStr">
        <is>
          <t>Your original SBDC template (SKY WEAVERS FINANCIAL PROJECTIONS 2025 01 30.xlsx in Google Drive) is untouched;</t>
        </is>
      </c>
    </row>
    <row r="5" ht="15" customHeight="1" s="29">
      <c r="A5" s="31" t="inlineStr">
        <is>
          <t>copy these numbers into it if Ginny at the SBDC wants her canonical format.</t>
        </is>
      </c>
    </row>
    <row r="6" ht="15" customHeight="1" s="29">
      <c r="A6" s="31" t="n"/>
    </row>
    <row r="7" ht="15" customHeight="1" s="29">
      <c r="A7" s="31" t="inlineStr">
        <is>
          <t>1. Everything is driven from the 'Assumptions' tab. Yellow cells are the only cells you need to edit.</t>
        </is>
      </c>
    </row>
    <row r="8" ht="15" customHeight="1" s="29">
      <c r="A8" s="31" t="inlineStr">
        <is>
          <t>2. Set the scenario cell (1/2/3) to flip the entire model between Conservative / Base / Strong.</t>
        </is>
      </c>
    </row>
    <row r="9" ht="15" customHeight="1" s="29">
      <c r="A9" s="31" t="inlineStr">
        <is>
          <t>3. The base-case monthly revenue plan lives on '4. Sales Forecast' (blue cells) — tune monthly numbers there.</t>
        </is>
      </c>
    </row>
    <row r="10" ht="15" customHeight="1" s="29">
      <c r="A10" s="31" t="inlineStr">
        <is>
          <t>4. 'Revenue Share' computes the Option B split: 50% of Net Revenue to D. Chapa until the $20,000 build value</t>
        </is>
      </c>
    </row>
    <row r="11" ht="15" customHeight="1" s="29">
      <c r="A11" s="31" t="inlineStr">
        <is>
          <t xml:space="preserve">   is recouped, then 30% ongoing. Change those terms on Assumptions to model Options A or C.</t>
        </is>
      </c>
    </row>
    <row r="12" ht="15" customHeight="1" s="29">
      <c r="A12" s="31" t="inlineStr">
        <is>
          <t>5. Income Statement and Three-Year Summary roll everything up; Breakeven shows the opex hurdle.</t>
        </is>
      </c>
    </row>
    <row r="13" ht="15" customHeight="1" s="29">
      <c r="A13" s="31" t="n"/>
    </row>
    <row r="14" ht="15" customHeight="1" s="29">
      <c r="A14" s="31" t="inlineStr">
        <is>
          <t>Key sources for planning figures (documented in the business plan): Alaska Div. of Corporations fee schedule;</t>
        </is>
      </c>
    </row>
    <row r="15" ht="15" customHeight="1" s="29">
      <c r="A15" s="31" t="inlineStr">
        <is>
          <t>AS 43.70 business license; ad-rate benchmarks from Playwire/MonetizePros/Ezoic; comparables (Alaska Landmine</t>
        </is>
      </c>
    </row>
    <row r="16" ht="15" customHeight="1" s="29">
      <c r="A16" s="31" t="inlineStr">
        <is>
          <t>Political Report $1,299/yr; Must Read Alaska reach claims); 2026 election spending per Alaska Beacon/ADN/APOC filings.</t>
        </is>
      </c>
    </row>
    <row r="17" ht="15" customHeight="1" s="29">
      <c r="A17" s="31" t="inlineStr">
        <is>
          <t>All revenue figures are planning estimates prepared August 2026, not commitments.</t>
        </is>
      </c>
    </row>
    <row r="19">
      <c r="A19" s="32" t="inlineStr">
        <is>
          <t>6. New in this revision: monthly Year-1 cash flow (tab 5), ratio analysis (tab 19), and automatic diagnostics (tab 20).</t>
        </is>
      </c>
    </row>
    <row r="20">
      <c r="A20" s="32" t="inlineStr">
        <is>
          <t xml:space="preserve">   Balance sheets and amortization tabs from the SBDC model are intentionally omitted: the company carries no debt and no fixed assets.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C11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5390625" defaultRowHeight="15" zeroHeight="0" outlineLevelRow="0"/>
  <cols>
    <col width="56" customWidth="1" style="28" min="1" max="1"/>
    <col width="13" customWidth="1" style="28" min="2" max="2"/>
    <col width="40" customWidth="1" style="28" min="3" max="3"/>
  </cols>
  <sheetData>
    <row r="1" ht="17.35" customHeight="1" s="29">
      <c r="A1" s="30" t="inlineStr">
        <is>
          <t>Financial Diagnostics — automatic checks</t>
        </is>
      </c>
    </row>
    <row r="3" ht="15" customHeight="1" s="29">
      <c r="A3" s="44" t="inlineStr">
        <is>
          <t>Check</t>
        </is>
      </c>
      <c r="B3" s="44" t="inlineStr">
        <is>
          <t>Result</t>
        </is>
      </c>
      <c r="C3" s="44" t="inlineStr">
        <is>
          <t>Why it matters</t>
        </is>
      </c>
    </row>
    <row r="4" ht="15" customHeight="1" s="29">
      <c r="A4" s="31" t="inlineStr">
        <is>
          <t>Political concentration (Year 1) ≤ 25% of revenue</t>
        </is>
      </c>
      <c r="B4" s="36">
        <f>IF('7. Income Statement'!B5/'7. Income Statement'!B11&lt;=0.25,"PASS","WATCH")</f>
        <v/>
      </c>
      <c r="C4" s="41" t="inlineStr">
        <is>
          <t>High cycle-dependence signals fragile revenue between elections</t>
        </is>
      </c>
    </row>
    <row r="5" ht="15" customHeight="1" s="29">
      <c r="A5" s="31" t="inlineStr">
        <is>
          <t>Direct-sold share (Year 2) ≥ 40% of revenue</t>
        </is>
      </c>
      <c r="B5" s="36">
        <f>IF('7. Income Statement'!C6/'7. Income Statement'!C11&gt;=0.4,"PASS","WATCH")</f>
        <v/>
      </c>
      <c r="C5" s="41" t="inlineStr">
        <is>
          <t>The engine line should lead the mix as the book matures</t>
        </is>
      </c>
    </row>
    <row r="6" ht="15" customHeight="1" s="29">
      <c r="A6" s="31" t="inlineStr">
        <is>
          <t>Fixed opex ratio (Year 1) ≤ 15%</t>
        </is>
      </c>
      <c r="B6" s="36">
        <f>IF('7. Income Statement'!B14/'7. Income Statement'!B11&lt;=0.15,"PASS","WATCH")</f>
        <v/>
      </c>
      <c r="C6" s="41" t="inlineStr">
        <is>
          <t>Shoestring discipline check</t>
        </is>
      </c>
    </row>
    <row r="7" ht="15" customHeight="1" s="29">
      <c r="A7" s="31" t="inlineStr">
        <is>
          <t>Founder cash position positive by month 3</t>
        </is>
      </c>
      <c r="B7" s="36">
        <f>IF('5. Cash Flow (Monthly Yr 1)'!D14&gt;0,"PASS","WATCH")</f>
        <v/>
      </c>
      <c r="C7" s="41" t="inlineStr">
        <is>
          <t>Start-up outlay recovered quickly</t>
        </is>
      </c>
    </row>
    <row r="8" ht="15" customHeight="1" s="29">
      <c r="A8" s="31" t="inlineStr">
        <is>
          <t>GM recoup completes within Year 1</t>
        </is>
      </c>
      <c r="B8" s="36">
        <f>IF('Revenue Share'!M9=0,"PASS","WATCH")</f>
        <v/>
      </c>
      <c r="C8" s="41" t="inlineStr">
        <is>
          <t>Recoup remaining at Sep-27 should be zero (Option B)</t>
        </is>
      </c>
    </row>
    <row r="9" ht="15" customHeight="1" s="29">
      <c r="A9" s="31" t="inlineStr">
        <is>
          <t>Working capital floor $5,000 by year-end</t>
        </is>
      </c>
      <c r="B9" s="36">
        <f>IF('5. Cash Flow (Monthly Yr 1)'!M14&gt;=5000,"PASS","WATCH")</f>
        <v/>
      </c>
      <c r="C9" s="41" t="inlineStr">
        <is>
          <t>Distribution policy guard per Funding Strategy</t>
        </is>
      </c>
    </row>
    <row r="11" ht="15" customHeight="1" s="29">
      <c r="A11" s="41" t="inlineStr">
        <is>
          <t>WATCH is informational at planning grain — flip the scenario cell on Assumptions to see which checks hold under Conservative.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52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5390625" defaultRowHeight="15" zeroHeight="0" outlineLevelRow="0"/>
  <cols>
    <col width="44" customWidth="1" style="28" min="1" max="1"/>
    <col width="14" customWidth="1" style="28" min="2" max="5"/>
  </cols>
  <sheetData>
    <row r="1" ht="17.25" customHeight="1" s="29">
      <c r="A1" s="30" t="inlineStr">
        <is>
          <t>The Daily Alaska, LLC — Model Assumptions</t>
        </is>
      </c>
    </row>
    <row r="2" ht="15" customHeight="1" s="29">
      <c r="A2" s="33" t="inlineStr">
        <is>
          <t>Yellow cells are inputs — edit these. Blue text = hardcoded input. Black = formula. Launch month: October 2026.</t>
        </is>
      </c>
    </row>
    <row r="4" ht="15" customHeight="1" s="29">
      <c r="A4" s="34" t="inlineStr">
        <is>
          <t>SCENARIO CONTROL</t>
        </is>
      </c>
    </row>
    <row r="5" ht="15" customHeight="1" s="29">
      <c r="A5" s="31" t="inlineStr">
        <is>
          <t>Active scenario (1=Conservative, 2=Base, 3=Strong)</t>
        </is>
      </c>
      <c r="B5" s="35" t="n">
        <v>2</v>
      </c>
    </row>
    <row r="6" ht="15" customHeight="1" s="29">
      <c r="A6" s="31" t="inlineStr">
        <is>
          <t>Scenario revenue multipliers:</t>
        </is>
      </c>
      <c r="B6" s="36" t="inlineStr">
        <is>
          <t>Conservative</t>
        </is>
      </c>
      <c r="C6" s="36" t="inlineStr">
        <is>
          <t>Base</t>
        </is>
      </c>
      <c r="D6" s="36" t="inlineStr">
        <is>
          <t>Strong</t>
        </is>
      </c>
    </row>
    <row r="7" ht="15" customHeight="1" s="29">
      <c r="A7" s="31" t="inlineStr">
        <is>
          <t>Multiplier applied to base-case revenue plan</t>
        </is>
      </c>
      <c r="B7" s="37" t="n">
        <v>0.55</v>
      </c>
      <c r="C7" s="37" t="n">
        <v>1</v>
      </c>
      <c r="D7" s="37" t="n">
        <v>1.7</v>
      </c>
    </row>
    <row r="8" ht="15" customHeight="1" s="29">
      <c r="A8" s="31" t="inlineStr">
        <is>
          <t>Active multiplier</t>
        </is>
      </c>
      <c r="B8" s="38">
        <f>INDEX(B7:D7,1,$B$5)</f>
        <v/>
      </c>
    </row>
    <row r="10" ht="15" customHeight="1" s="29">
      <c r="A10" s="34" t="inlineStr">
        <is>
          <t>REVENUE-SHARE TERMS (Option B — recoup, then share)</t>
        </is>
      </c>
    </row>
    <row r="11" ht="15" customHeight="1" s="29">
      <c r="A11" s="31" t="inlineStr">
        <is>
          <t>Agreed build value to recoup ($)</t>
        </is>
      </c>
      <c r="B11" s="39" t="n">
        <v>20000</v>
      </c>
    </row>
    <row r="12" ht="15" customHeight="1" s="29">
      <c r="A12" s="31" t="inlineStr">
        <is>
          <t>D. Chapa share of Net Revenue until recouped</t>
        </is>
      </c>
      <c r="B12" s="40" t="n">
        <v>0.5</v>
      </c>
    </row>
    <row r="13" ht="15" customHeight="1" s="29">
      <c r="A13" s="31" t="inlineStr">
        <is>
          <t>D. Chapa share of Net Revenue after recoup</t>
        </is>
      </c>
      <c r="B13" s="40" t="n">
        <v>0.3</v>
      </c>
    </row>
    <row r="14" ht="15" customHeight="1" s="29">
      <c r="A14" s="31" t="inlineStr">
        <is>
          <t>Payment processing &amp; platform fees (% of gross)</t>
        </is>
      </c>
      <c r="B14" s="40" t="n">
        <v>0.03</v>
      </c>
    </row>
    <row r="16" ht="15" customHeight="1" s="29">
      <c r="A16" s="34" t="inlineStr">
        <is>
          <t>START-UP COSTS (cash — Slavik pays no retainer; build is in-kind)</t>
        </is>
      </c>
    </row>
    <row r="17" ht="15" customHeight="1" s="29">
      <c r="A17" s="31" t="inlineStr">
        <is>
          <t>LLC Articles of Organization — AK Div. of Corporations (same-day online)</t>
        </is>
      </c>
      <c r="B17" s="39" t="n">
        <v>250</v>
      </c>
      <c r="C17" s="41" t="inlineStr">
        <is>
          <t>Proven playbook: Chapa Lyons Professional Services formed in days</t>
        </is>
      </c>
    </row>
    <row r="18" ht="15" customHeight="1" s="29">
      <c r="A18" s="31" t="inlineStr">
        <is>
          <t>Alaska business license (annual)</t>
        </is>
      </c>
      <c r="B18" s="39" t="n">
        <v>50</v>
      </c>
      <c r="C18" s="41" t="inlineStr">
        <is>
          <t>AS 43.70</t>
        </is>
      </c>
    </row>
    <row r="19" ht="15" customHeight="1" s="29">
      <c r="A19" s="31" t="inlineStr">
        <is>
          <t>Registered agent + business mailing address (first month)</t>
        </is>
      </c>
      <c r="B19" s="39" t="n">
        <v>50</v>
      </c>
      <c r="C19" s="41" t="inlineStr">
        <is>
          <t>~$50/mo combined, per existing Chapa Lyons arrangement</t>
        </is>
      </c>
    </row>
    <row r="20" ht="15" customHeight="1" s="29">
      <c r="A20" s="31" t="inlineStr">
        <is>
          <t>Media liability insurance (first month, monthly plan)</t>
        </is>
      </c>
      <c r="B20" s="39" t="n">
        <v>210</v>
      </c>
      <c r="C20" s="41" t="inlineStr">
        <is>
          <t>Quote needed; monthly payment plan keeps launch cash low</t>
        </is>
      </c>
    </row>
    <row r="21" ht="15" customHeight="1" s="29">
      <c r="A21" s="31" t="inlineStr">
        <is>
          <t>Domains (dailyalaska.com + variants)</t>
        </is>
      </c>
      <c r="B21" s="39" t="n">
        <v>200</v>
      </c>
      <c r="C21" s="41" t="inlineStr">
        <is>
          <t>Estimate</t>
        </is>
      </c>
    </row>
    <row r="22" ht="15" customHeight="1" s="29">
      <c r="A22" s="31" t="inlineStr">
        <is>
          <t>Lovable + Supabase (first month)</t>
        </is>
      </c>
      <c r="B22" s="39" t="n">
        <v>50</v>
      </c>
      <c r="C22" s="41" t="inlineStr">
        <is>
          <t>Lovable subscription + Supabase Pro</t>
        </is>
      </c>
    </row>
    <row r="23" ht="15" customHeight="1" s="29">
      <c r="A23" s="31" t="inlineStr">
        <is>
          <t>Misc setup (bookkeeping software, SaaS)</t>
        </is>
      </c>
      <c r="B23" s="39" t="n">
        <v>50</v>
      </c>
      <c r="C23" s="41" t="inlineStr">
        <is>
          <t>Estimate</t>
        </is>
      </c>
    </row>
    <row r="24" ht="15" customHeight="1" s="29">
      <c r="A24" s="31" t="inlineStr">
        <is>
          <t>Working capital / contingency</t>
        </is>
      </c>
      <c r="B24" s="39" t="n">
        <v>500</v>
      </c>
      <c r="C24" s="41" t="inlineStr">
        <is>
          <t>Owner-set buffer</t>
        </is>
      </c>
    </row>
    <row r="25" ht="15" customHeight="1" s="29">
      <c r="A25" s="36" t="inlineStr">
        <is>
          <t>Total cash start-up</t>
        </is>
      </c>
      <c r="B25" s="42">
        <f>SUM(B17:B24)</f>
        <v/>
      </c>
    </row>
    <row r="26" ht="15" customHeight="1" s="29">
      <c r="A26" s="31" t="inlineStr">
        <is>
          <t>In-kind site &amp; brand build (recouped via revenue share, not cash)</t>
        </is>
      </c>
      <c r="B26" s="43">
        <f>Assumptions!$B$11</f>
        <v/>
      </c>
    </row>
    <row r="28" ht="15" customHeight="1" s="29">
      <c r="A28" s="34" t="inlineStr">
        <is>
          <t>FIXED OPERATING EXPENSES (monthly)</t>
        </is>
      </c>
    </row>
    <row r="29" ht="15" customHeight="1" s="29">
      <c r="A29" s="31" t="inlineStr">
        <is>
          <t>Lovable subscription</t>
        </is>
      </c>
      <c r="B29" s="39" t="n">
        <v>25</v>
      </c>
    </row>
    <row r="30" ht="15" customHeight="1" s="29">
      <c r="A30" s="31" t="inlineStr">
        <is>
          <t>Supabase (Pro tier)</t>
        </is>
      </c>
      <c r="B30" s="39" t="n">
        <v>25</v>
      </c>
    </row>
    <row r="31" ht="15" customHeight="1" s="29">
      <c r="A31" s="31" t="inlineStr">
        <is>
          <t>Newsletter platform (beehiiv free tier to 2,500 subs)</t>
        </is>
      </c>
      <c r="B31" s="39" t="n">
        <v>0</v>
      </c>
    </row>
    <row r="32" ht="15" customHeight="1" s="29">
      <c r="A32" s="31" t="inlineStr">
        <is>
          <t>Registered agent + business mailing address</t>
        </is>
      </c>
      <c r="B32" s="39" t="n">
        <v>50</v>
      </c>
    </row>
    <row r="33" ht="15" customHeight="1" s="29">
      <c r="A33" s="31" t="inlineStr">
        <is>
          <t>Insurance (monthly plan)</t>
        </is>
      </c>
      <c r="B33" s="39" t="n">
        <v>210</v>
      </c>
    </row>
    <row r="34" ht="15" customHeight="1" s="29">
      <c r="A34" s="31" t="inlineStr">
        <is>
          <t>Licenses &amp; filings (amortized)</t>
        </is>
      </c>
      <c r="B34" s="39" t="n">
        <v>15</v>
      </c>
    </row>
    <row r="35" ht="15" customHeight="1" s="29">
      <c r="A35" s="31" t="inlineStr">
        <is>
          <t>Marketing &amp; social boosts</t>
        </is>
      </c>
      <c r="B35" s="39" t="n">
        <v>50</v>
      </c>
    </row>
    <row r="36" ht="15" customHeight="1" s="29">
      <c r="A36" s="31" t="inlineStr">
        <is>
          <t>Bookkeeping (DIY at launch; reserve)</t>
        </is>
      </c>
      <c r="B36" s="39" t="n">
        <v>60</v>
      </c>
    </row>
    <row r="37" ht="15" customHeight="1" s="29">
      <c r="A37" s="31" t="inlineStr">
        <is>
          <t>Miscellaneous / contingency</t>
        </is>
      </c>
      <c r="B37" s="39" t="n">
        <v>25</v>
      </c>
    </row>
    <row r="38" ht="15" customHeight="1" s="29">
      <c r="A38" s="36" t="inlineStr">
        <is>
          <t>Total fixed operating expenses / month</t>
        </is>
      </c>
      <c r="B38" s="42">
        <f>SUM(B29:B37)</f>
        <v/>
      </c>
    </row>
    <row r="40" ht="15" customHeight="1" s="29">
      <c r="A40" s="34" t="inlineStr">
        <is>
          <t>ANNUAL GROWTH FACTORS (applied to prior-year line totals)</t>
        </is>
      </c>
    </row>
    <row r="41" ht="15" customHeight="1" s="29">
      <c r="A41" s="36" t="inlineStr">
        <is>
          <t>Revenue line</t>
        </is>
      </c>
      <c r="B41" s="36" t="inlineStr">
        <is>
          <t>Year 2 ×</t>
        </is>
      </c>
      <c r="C41" s="36" t="inlineStr">
        <is>
          <t>Year 3 ×</t>
        </is>
      </c>
    </row>
    <row r="42" ht="15" customHeight="1" s="29">
      <c r="A42" s="31" t="inlineStr">
        <is>
          <t>Political advertising</t>
        </is>
      </c>
      <c r="B42" s="37" t="n">
        <v>0.8</v>
      </c>
      <c r="C42" s="37" t="n">
        <v>2.6</v>
      </c>
    </row>
    <row r="43" ht="15" customHeight="1" s="29">
      <c r="A43" s="31" t="inlineStr">
        <is>
          <t>Direct local ads &amp; sponsorships</t>
        </is>
      </c>
      <c r="B43" s="37" t="n">
        <v>2</v>
      </c>
      <c r="C43" s="37" t="n">
        <v>1.35</v>
      </c>
    </row>
    <row r="44" ht="15" customHeight="1" s="29">
      <c r="A44" s="31" t="inlineStr">
        <is>
          <t>Programmatic display</t>
        </is>
      </c>
      <c r="B44" s="37" t="n">
        <v>2.2</v>
      </c>
      <c r="C44" s="37" t="n">
        <v>1.4</v>
      </c>
    </row>
    <row r="45" ht="15" customHeight="1" s="29">
      <c r="A45" s="31" t="inlineStr">
        <is>
          <t>Sponsored content</t>
        </is>
      </c>
      <c r="B45" s="37" t="n">
        <v>2</v>
      </c>
      <c r="C45" s="37" t="n">
        <v>1.4</v>
      </c>
    </row>
    <row r="46" ht="15" customHeight="1" s="29">
      <c r="A46" s="31" t="inlineStr">
        <is>
          <t>Events calendar</t>
        </is>
      </c>
      <c r="B46" s="37" t="n">
        <v>2.2</v>
      </c>
      <c r="C46" s="37" t="n">
        <v>1.5</v>
      </c>
    </row>
    <row r="47" ht="15" customHeight="1" s="29">
      <c r="A47" s="31" t="inlineStr">
        <is>
          <t>Newsletter sponsorships</t>
        </is>
      </c>
      <c r="B47" s="37" t="n">
        <v>2.4</v>
      </c>
      <c r="C47" s="37" t="n">
        <v>1.5</v>
      </c>
    </row>
    <row r="49" ht="15" customHeight="1" s="29">
      <c r="A49" s="31" t="inlineStr">
        <is>
          <t>Opex annual inflation</t>
        </is>
      </c>
      <c r="B49" s="40" t="n">
        <v>0.03</v>
      </c>
    </row>
    <row r="51" ht="15" customHeight="1" s="29">
      <c r="A51" s="41" t="inlineStr">
        <is>
          <t>Note: shoestring budget revision Aug 24, 2026 — Lovable/Supabase stack, two-week build, same-day formation. Base-case revenue plan on '4. Sales Forecast'.</t>
        </is>
      </c>
    </row>
    <row r="52" ht="15" customHeight="1" s="29">
      <c r="A52" s="41" t="inlineStr">
        <is>
          <t>political-ad window assumes Nov 3, 2026 general election; sources documented in the business plan.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N22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5390625" defaultRowHeight="15" zeroHeight="0" outlineLevelRow="0"/>
  <cols>
    <col width="34" customWidth="1" style="28" min="1" max="1"/>
    <col width="10" customWidth="1" style="28" min="2" max="15"/>
  </cols>
  <sheetData>
    <row r="1" ht="17.25" customHeight="1" s="29">
      <c r="A1" s="30" t="inlineStr">
        <is>
          <t>Projected Sales Forecast — Year 1 (monthly) with scenario applied</t>
        </is>
      </c>
    </row>
    <row r="2" ht="15" customHeight="1" s="29">
      <c r="A2" s="33" t="inlineStr">
        <is>
          <t>Blue = base-case plan inputs (edit). 'Scenario' rows apply the active multiplier from Assumptions.</t>
        </is>
      </c>
    </row>
    <row r="4" ht="15" customHeight="1" s="29">
      <c r="A4" s="34" t="inlineStr">
        <is>
          <t>BASE-CASE PLAN ($/month)</t>
        </is>
      </c>
    </row>
    <row r="5" ht="15" customHeight="1" s="29">
      <c r="A5" s="44" t="inlineStr">
        <is>
          <t>Revenue line</t>
        </is>
      </c>
      <c r="B5" s="44" t="inlineStr">
        <is>
          <t>Oct-26</t>
        </is>
      </c>
      <c r="C5" s="44" t="inlineStr">
        <is>
          <t>Nov-26</t>
        </is>
      </c>
      <c r="D5" s="44" t="inlineStr">
        <is>
          <t>Dec-26</t>
        </is>
      </c>
      <c r="E5" s="44" t="inlineStr">
        <is>
          <t>Jan-27</t>
        </is>
      </c>
      <c r="F5" s="44" t="inlineStr">
        <is>
          <t>Feb-27</t>
        </is>
      </c>
      <c r="G5" s="44" t="inlineStr">
        <is>
          <t>Mar-27</t>
        </is>
      </c>
      <c r="H5" s="44" t="inlineStr">
        <is>
          <t>Apr-27</t>
        </is>
      </c>
      <c r="I5" s="44" t="inlineStr">
        <is>
          <t>May-27</t>
        </is>
      </c>
      <c r="J5" s="44" t="inlineStr">
        <is>
          <t>Jun-27</t>
        </is>
      </c>
      <c r="K5" s="44" t="inlineStr">
        <is>
          <t>Jul-27</t>
        </is>
      </c>
      <c r="L5" s="44" t="inlineStr">
        <is>
          <t>Aug-27</t>
        </is>
      </c>
      <c r="M5" s="44" t="inlineStr">
        <is>
          <t>Sep-27</t>
        </is>
      </c>
      <c r="N5" s="44" t="inlineStr">
        <is>
          <t>Year 1</t>
        </is>
      </c>
    </row>
    <row r="6" ht="15" customHeight="1" s="29">
      <c r="A6" s="31" t="inlineStr">
        <is>
          <t>Political advertising</t>
        </is>
      </c>
      <c r="B6" s="45" t="n">
        <v>6000</v>
      </c>
      <c r="C6" s="45" t="n">
        <v>4000</v>
      </c>
      <c r="D6" s="45" t="n">
        <v>250</v>
      </c>
      <c r="E6" s="45" t="n">
        <v>250</v>
      </c>
      <c r="F6" s="45" t="n">
        <v>250</v>
      </c>
      <c r="G6" s="45" t="n">
        <v>1000</v>
      </c>
      <c r="H6" s="45" t="n">
        <v>1000</v>
      </c>
      <c r="I6" s="45" t="n">
        <v>250</v>
      </c>
      <c r="J6" s="45" t="n">
        <v>250</v>
      </c>
      <c r="K6" s="45" t="n">
        <v>250</v>
      </c>
      <c r="L6" s="45" t="n">
        <v>250</v>
      </c>
      <c r="M6" s="45" t="n">
        <v>250</v>
      </c>
      <c r="N6" s="46">
        <f>SUM(B6:M6)</f>
        <v/>
      </c>
    </row>
    <row r="7" ht="15" customHeight="1" s="29">
      <c r="A7" s="31" t="inlineStr">
        <is>
          <t>Direct local ads &amp; sponsorships</t>
        </is>
      </c>
      <c r="B7" s="45" t="n">
        <v>500</v>
      </c>
      <c r="C7" s="45" t="n">
        <v>900</v>
      </c>
      <c r="D7" s="45" t="n">
        <v>1300</v>
      </c>
      <c r="E7" s="45" t="n">
        <v>1700</v>
      </c>
      <c r="F7" s="45" t="n">
        <v>2100</v>
      </c>
      <c r="G7" s="45" t="n">
        <v>2500</v>
      </c>
      <c r="H7" s="45" t="n">
        <v>2900</v>
      </c>
      <c r="I7" s="45" t="n">
        <v>3300</v>
      </c>
      <c r="J7" s="45" t="n">
        <v>3700</v>
      </c>
      <c r="K7" s="45" t="n">
        <v>4100</v>
      </c>
      <c r="L7" s="45" t="n">
        <v>4500</v>
      </c>
      <c r="M7" s="45" t="n">
        <v>5000</v>
      </c>
      <c r="N7" s="46">
        <f>SUM(B7:M7)</f>
        <v/>
      </c>
    </row>
    <row r="8" ht="15" customHeight="1" s="29">
      <c r="A8" s="31" t="inlineStr">
        <is>
          <t>Programmatic display</t>
        </is>
      </c>
      <c r="B8" s="45" t="n">
        <v>100</v>
      </c>
      <c r="C8" s="45" t="n">
        <v>200</v>
      </c>
      <c r="D8" s="45" t="n">
        <v>300</v>
      </c>
      <c r="E8" s="45" t="n">
        <v>400</v>
      </c>
      <c r="F8" s="45" t="n">
        <v>500</v>
      </c>
      <c r="G8" s="45" t="n">
        <v>700</v>
      </c>
      <c r="H8" s="45" t="n">
        <v>800</v>
      </c>
      <c r="I8" s="45" t="n">
        <v>900</v>
      </c>
      <c r="J8" s="45" t="n">
        <v>1000</v>
      </c>
      <c r="K8" s="45" t="n">
        <v>1200</v>
      </c>
      <c r="L8" s="45" t="n">
        <v>1350</v>
      </c>
      <c r="M8" s="45" t="n">
        <v>1500</v>
      </c>
      <c r="N8" s="46">
        <f>SUM(B8:M8)</f>
        <v/>
      </c>
    </row>
    <row r="9" ht="15" customHeight="1" s="29">
      <c r="A9" s="31" t="inlineStr">
        <is>
          <t>Sponsored content</t>
        </is>
      </c>
      <c r="B9" s="45" t="n">
        <v>0</v>
      </c>
      <c r="C9" s="45" t="n">
        <v>0</v>
      </c>
      <c r="D9" s="45" t="n">
        <v>500</v>
      </c>
      <c r="E9" s="45" t="n">
        <v>500</v>
      </c>
      <c r="F9" s="45" t="n">
        <v>800</v>
      </c>
      <c r="G9" s="45" t="n">
        <v>800</v>
      </c>
      <c r="H9" s="45" t="n">
        <v>1000</v>
      </c>
      <c r="I9" s="45" t="n">
        <v>1000</v>
      </c>
      <c r="J9" s="45" t="n">
        <v>1200</v>
      </c>
      <c r="K9" s="45" t="n">
        <v>1200</v>
      </c>
      <c r="L9" s="45" t="n">
        <v>1500</v>
      </c>
      <c r="M9" s="45" t="n">
        <v>1500</v>
      </c>
      <c r="N9" s="46">
        <f>SUM(B9:M9)</f>
        <v/>
      </c>
    </row>
    <row r="10" ht="15" customHeight="1" s="29">
      <c r="A10" s="31" t="inlineStr">
        <is>
          <t>Events calendar</t>
        </is>
      </c>
      <c r="B10" s="45" t="n">
        <v>0</v>
      </c>
      <c r="C10" s="45" t="n">
        <v>0</v>
      </c>
      <c r="D10" s="45" t="n">
        <v>100</v>
      </c>
      <c r="E10" s="45" t="n">
        <v>100</v>
      </c>
      <c r="F10" s="45" t="n">
        <v>200</v>
      </c>
      <c r="G10" s="45" t="n">
        <v>300</v>
      </c>
      <c r="H10" s="45" t="n">
        <v>300</v>
      </c>
      <c r="I10" s="45" t="n">
        <v>400</v>
      </c>
      <c r="J10" s="45" t="n">
        <v>400</v>
      </c>
      <c r="K10" s="45" t="n">
        <v>500</v>
      </c>
      <c r="L10" s="45" t="n">
        <v>500</v>
      </c>
      <c r="M10" s="45" t="n">
        <v>600</v>
      </c>
      <c r="N10" s="46">
        <f>SUM(B10:M10)</f>
        <v/>
      </c>
    </row>
    <row r="11" ht="15" customHeight="1" s="29">
      <c r="A11" s="31" t="inlineStr">
        <is>
          <t>Newsletter sponsorships</t>
        </is>
      </c>
      <c r="B11" s="45" t="n">
        <v>0</v>
      </c>
      <c r="C11" s="45" t="n">
        <v>100</v>
      </c>
      <c r="D11" s="45" t="n">
        <v>150</v>
      </c>
      <c r="E11" s="45" t="n">
        <v>200</v>
      </c>
      <c r="F11" s="45" t="n">
        <v>300</v>
      </c>
      <c r="G11" s="45" t="n">
        <v>400</v>
      </c>
      <c r="H11" s="45" t="n">
        <v>450</v>
      </c>
      <c r="I11" s="45" t="n">
        <v>500</v>
      </c>
      <c r="J11" s="45" t="n">
        <v>600</v>
      </c>
      <c r="K11" s="45" t="n">
        <v>650</v>
      </c>
      <c r="L11" s="45" t="n">
        <v>700</v>
      </c>
      <c r="M11" s="45" t="n">
        <v>800</v>
      </c>
      <c r="N11" s="46">
        <f>SUM(B11:M11)</f>
        <v/>
      </c>
    </row>
    <row r="12" ht="15" customHeight="1" s="29">
      <c r="A12" s="36" t="inlineStr">
        <is>
          <t>Total (base case)</t>
        </is>
      </c>
      <c r="B12" s="42">
        <f>SUM(B6:B11)</f>
        <v/>
      </c>
      <c r="C12" s="42">
        <f>SUM(C6:C11)</f>
        <v/>
      </c>
      <c r="D12" s="42">
        <f>SUM(D6:D11)</f>
        <v/>
      </c>
      <c r="E12" s="42">
        <f>SUM(E6:E11)</f>
        <v/>
      </c>
      <c r="F12" s="42">
        <f>SUM(F6:F11)</f>
        <v/>
      </c>
      <c r="G12" s="42">
        <f>SUM(G6:G11)</f>
        <v/>
      </c>
      <c r="H12" s="42">
        <f>SUM(H6:H11)</f>
        <v/>
      </c>
      <c r="I12" s="42">
        <f>SUM(I6:I11)</f>
        <v/>
      </c>
      <c r="J12" s="42">
        <f>SUM(J6:J11)</f>
        <v/>
      </c>
      <c r="K12" s="42">
        <f>SUM(K6:K11)</f>
        <v/>
      </c>
      <c r="L12" s="42">
        <f>SUM(L6:L11)</f>
        <v/>
      </c>
      <c r="M12" s="42">
        <f>SUM(M6:M11)</f>
        <v/>
      </c>
      <c r="N12" s="42">
        <f>SUM(N6:N11)</f>
        <v/>
      </c>
    </row>
    <row r="14" ht="15" customHeight="1" s="29">
      <c r="A14" s="34" t="inlineStr">
        <is>
          <t>SCENARIO-ADJUSTED ($/month)</t>
        </is>
      </c>
    </row>
    <row r="15" ht="15" customHeight="1" s="29">
      <c r="A15" s="44" t="inlineStr">
        <is>
          <t>Revenue line</t>
        </is>
      </c>
      <c r="B15" s="44" t="inlineStr">
        <is>
          <t>Oct-26</t>
        </is>
      </c>
      <c r="C15" s="44" t="inlineStr">
        <is>
          <t>Nov-26</t>
        </is>
      </c>
      <c r="D15" s="44" t="inlineStr">
        <is>
          <t>Dec-26</t>
        </is>
      </c>
      <c r="E15" s="44" t="inlineStr">
        <is>
          <t>Jan-27</t>
        </is>
      </c>
      <c r="F15" s="44" t="inlineStr">
        <is>
          <t>Feb-27</t>
        </is>
      </c>
      <c r="G15" s="44" t="inlineStr">
        <is>
          <t>Mar-27</t>
        </is>
      </c>
      <c r="H15" s="44" t="inlineStr">
        <is>
          <t>Apr-27</t>
        </is>
      </c>
      <c r="I15" s="44" t="inlineStr">
        <is>
          <t>May-27</t>
        </is>
      </c>
      <c r="J15" s="44" t="inlineStr">
        <is>
          <t>Jun-27</t>
        </is>
      </c>
      <c r="K15" s="44" t="inlineStr">
        <is>
          <t>Jul-27</t>
        </is>
      </c>
      <c r="L15" s="44" t="inlineStr">
        <is>
          <t>Aug-27</t>
        </is>
      </c>
      <c r="M15" s="44" t="inlineStr">
        <is>
          <t>Sep-27</t>
        </is>
      </c>
      <c r="N15" s="44" t="inlineStr">
        <is>
          <t>Year 1</t>
        </is>
      </c>
    </row>
    <row r="16" ht="15" customHeight="1" s="29">
      <c r="A16" s="31" t="inlineStr">
        <is>
          <t>Political advertising</t>
        </is>
      </c>
      <c r="B16" s="46">
        <f>B6*Assumptions!$B$8</f>
        <v/>
      </c>
      <c r="C16" s="46">
        <f>C6*Assumptions!$B$8</f>
        <v/>
      </c>
      <c r="D16" s="46">
        <f>D6*Assumptions!$B$8</f>
        <v/>
      </c>
      <c r="E16" s="46">
        <f>E6*Assumptions!$B$8</f>
        <v/>
      </c>
      <c r="F16" s="46">
        <f>F6*Assumptions!$B$8</f>
        <v/>
      </c>
      <c r="G16" s="46">
        <f>G6*Assumptions!$B$8</f>
        <v/>
      </c>
      <c r="H16" s="46">
        <f>H6*Assumptions!$B$8</f>
        <v/>
      </c>
      <c r="I16" s="46">
        <f>I6*Assumptions!$B$8</f>
        <v/>
      </c>
      <c r="J16" s="46">
        <f>J6*Assumptions!$B$8</f>
        <v/>
      </c>
      <c r="K16" s="46">
        <f>K6*Assumptions!$B$8</f>
        <v/>
      </c>
      <c r="L16" s="46">
        <f>L6*Assumptions!$B$8</f>
        <v/>
      </c>
      <c r="M16" s="46">
        <f>M6*Assumptions!$B$8</f>
        <v/>
      </c>
      <c r="N16" s="46">
        <f>SUM(B16:M16)</f>
        <v/>
      </c>
    </row>
    <row r="17" ht="15" customHeight="1" s="29">
      <c r="A17" s="31" t="inlineStr">
        <is>
          <t>Direct local ads &amp; sponsorships</t>
        </is>
      </c>
      <c r="B17" s="46">
        <f>B7*Assumptions!$B$8</f>
        <v/>
      </c>
      <c r="C17" s="46">
        <f>C7*Assumptions!$B$8</f>
        <v/>
      </c>
      <c r="D17" s="46">
        <f>D7*Assumptions!$B$8</f>
        <v/>
      </c>
      <c r="E17" s="46">
        <f>E7*Assumptions!$B$8</f>
        <v/>
      </c>
      <c r="F17" s="46">
        <f>F7*Assumptions!$B$8</f>
        <v/>
      </c>
      <c r="G17" s="46">
        <f>G7*Assumptions!$B$8</f>
        <v/>
      </c>
      <c r="H17" s="46">
        <f>H7*Assumptions!$B$8</f>
        <v/>
      </c>
      <c r="I17" s="46">
        <f>I7*Assumptions!$B$8</f>
        <v/>
      </c>
      <c r="J17" s="46">
        <f>J7*Assumptions!$B$8</f>
        <v/>
      </c>
      <c r="K17" s="46">
        <f>K7*Assumptions!$B$8</f>
        <v/>
      </c>
      <c r="L17" s="46">
        <f>L7*Assumptions!$B$8</f>
        <v/>
      </c>
      <c r="M17" s="46">
        <f>M7*Assumptions!$B$8</f>
        <v/>
      </c>
      <c r="N17" s="46">
        <f>SUM(B17:M17)</f>
        <v/>
      </c>
    </row>
    <row r="18" ht="15" customHeight="1" s="29">
      <c r="A18" s="31" t="inlineStr">
        <is>
          <t>Programmatic display</t>
        </is>
      </c>
      <c r="B18" s="46">
        <f>B8*Assumptions!$B$8</f>
        <v/>
      </c>
      <c r="C18" s="46">
        <f>C8*Assumptions!$B$8</f>
        <v/>
      </c>
      <c r="D18" s="46">
        <f>D8*Assumptions!$B$8</f>
        <v/>
      </c>
      <c r="E18" s="46">
        <f>E8*Assumptions!$B$8</f>
        <v/>
      </c>
      <c r="F18" s="46">
        <f>F8*Assumptions!$B$8</f>
        <v/>
      </c>
      <c r="G18" s="46">
        <f>G8*Assumptions!$B$8</f>
        <v/>
      </c>
      <c r="H18" s="46">
        <f>H8*Assumptions!$B$8</f>
        <v/>
      </c>
      <c r="I18" s="46">
        <f>I8*Assumptions!$B$8</f>
        <v/>
      </c>
      <c r="J18" s="46">
        <f>J8*Assumptions!$B$8</f>
        <v/>
      </c>
      <c r="K18" s="46">
        <f>K8*Assumptions!$B$8</f>
        <v/>
      </c>
      <c r="L18" s="46">
        <f>L8*Assumptions!$B$8</f>
        <v/>
      </c>
      <c r="M18" s="46">
        <f>M8*Assumptions!$B$8</f>
        <v/>
      </c>
      <c r="N18" s="46">
        <f>SUM(B18:M18)</f>
        <v/>
      </c>
    </row>
    <row r="19" ht="15" customHeight="1" s="29">
      <c r="A19" s="31" t="inlineStr">
        <is>
          <t>Sponsored content</t>
        </is>
      </c>
      <c r="B19" s="46">
        <f>B9*Assumptions!$B$8</f>
        <v/>
      </c>
      <c r="C19" s="46">
        <f>C9*Assumptions!$B$8</f>
        <v/>
      </c>
      <c r="D19" s="46">
        <f>D9*Assumptions!$B$8</f>
        <v/>
      </c>
      <c r="E19" s="46">
        <f>E9*Assumptions!$B$8</f>
        <v/>
      </c>
      <c r="F19" s="46">
        <f>F9*Assumptions!$B$8</f>
        <v/>
      </c>
      <c r="G19" s="46">
        <f>G9*Assumptions!$B$8</f>
        <v/>
      </c>
      <c r="H19" s="46">
        <f>H9*Assumptions!$B$8</f>
        <v/>
      </c>
      <c r="I19" s="46">
        <f>I9*Assumptions!$B$8</f>
        <v/>
      </c>
      <c r="J19" s="46">
        <f>J9*Assumptions!$B$8</f>
        <v/>
      </c>
      <c r="K19" s="46">
        <f>K9*Assumptions!$B$8</f>
        <v/>
      </c>
      <c r="L19" s="46">
        <f>L9*Assumptions!$B$8</f>
        <v/>
      </c>
      <c r="M19" s="46">
        <f>M9*Assumptions!$B$8</f>
        <v/>
      </c>
      <c r="N19" s="46">
        <f>SUM(B19:M19)</f>
        <v/>
      </c>
    </row>
    <row r="20" ht="15" customHeight="1" s="29">
      <c r="A20" s="31" t="inlineStr">
        <is>
          <t>Events calendar</t>
        </is>
      </c>
      <c r="B20" s="46">
        <f>B10*Assumptions!$B$8</f>
        <v/>
      </c>
      <c r="C20" s="46">
        <f>C10*Assumptions!$B$8</f>
        <v/>
      </c>
      <c r="D20" s="46">
        <f>D10*Assumptions!$B$8</f>
        <v/>
      </c>
      <c r="E20" s="46">
        <f>E10*Assumptions!$B$8</f>
        <v/>
      </c>
      <c r="F20" s="46">
        <f>F10*Assumptions!$B$8</f>
        <v/>
      </c>
      <c r="G20" s="46">
        <f>G10*Assumptions!$B$8</f>
        <v/>
      </c>
      <c r="H20" s="46">
        <f>H10*Assumptions!$B$8</f>
        <v/>
      </c>
      <c r="I20" s="46">
        <f>I10*Assumptions!$B$8</f>
        <v/>
      </c>
      <c r="J20" s="46">
        <f>J10*Assumptions!$B$8</f>
        <v/>
      </c>
      <c r="K20" s="46">
        <f>K10*Assumptions!$B$8</f>
        <v/>
      </c>
      <c r="L20" s="46">
        <f>L10*Assumptions!$B$8</f>
        <v/>
      </c>
      <c r="M20" s="46">
        <f>M10*Assumptions!$B$8</f>
        <v/>
      </c>
      <c r="N20" s="46">
        <f>SUM(B20:M20)</f>
        <v/>
      </c>
    </row>
    <row r="21" ht="15" customHeight="1" s="29">
      <c r="A21" s="31" t="inlineStr">
        <is>
          <t>Newsletter sponsorships</t>
        </is>
      </c>
      <c r="B21" s="46">
        <f>B11*Assumptions!$B$8</f>
        <v/>
      </c>
      <c r="C21" s="46">
        <f>C11*Assumptions!$B$8</f>
        <v/>
      </c>
      <c r="D21" s="46">
        <f>D11*Assumptions!$B$8</f>
        <v/>
      </c>
      <c r="E21" s="46">
        <f>E11*Assumptions!$B$8</f>
        <v/>
      </c>
      <c r="F21" s="46">
        <f>F11*Assumptions!$B$8</f>
        <v/>
      </c>
      <c r="G21" s="46">
        <f>G11*Assumptions!$B$8</f>
        <v/>
      </c>
      <c r="H21" s="46">
        <f>H11*Assumptions!$B$8</f>
        <v/>
      </c>
      <c r="I21" s="46">
        <f>I11*Assumptions!$B$8</f>
        <v/>
      </c>
      <c r="J21" s="46">
        <f>J11*Assumptions!$B$8</f>
        <v/>
      </c>
      <c r="K21" s="46">
        <f>K11*Assumptions!$B$8</f>
        <v/>
      </c>
      <c r="L21" s="46">
        <f>L11*Assumptions!$B$8</f>
        <v/>
      </c>
      <c r="M21" s="46">
        <f>M11*Assumptions!$B$8</f>
        <v/>
      </c>
      <c r="N21" s="46">
        <f>SUM(B21:M21)</f>
        <v/>
      </c>
    </row>
    <row r="22" ht="15" customHeight="1" s="29">
      <c r="A22" s="36" t="inlineStr">
        <is>
          <t>Total gross revenue</t>
        </is>
      </c>
      <c r="B22" s="42">
        <f>SUM(B16:B21)</f>
        <v/>
      </c>
      <c r="C22" s="42">
        <f>SUM(C16:C21)</f>
        <v/>
      </c>
      <c r="D22" s="42">
        <f>SUM(D16:D21)</f>
        <v/>
      </c>
      <c r="E22" s="42">
        <f>SUM(E16:E21)</f>
        <v/>
      </c>
      <c r="F22" s="42">
        <f>SUM(F16:F21)</f>
        <v/>
      </c>
      <c r="G22" s="42">
        <f>SUM(G16:G21)</f>
        <v/>
      </c>
      <c r="H22" s="42">
        <f>SUM(H16:H21)</f>
        <v/>
      </c>
      <c r="I22" s="42">
        <f>SUM(I16:I21)</f>
        <v/>
      </c>
      <c r="J22" s="42">
        <f>SUM(J16:J21)</f>
        <v/>
      </c>
      <c r="K22" s="42">
        <f>SUM(K16:K21)</f>
        <v/>
      </c>
      <c r="L22" s="42">
        <f>SUM(L16:L21)</f>
        <v/>
      </c>
      <c r="M22" s="42">
        <f>SUM(M16:M21)</f>
        <v/>
      </c>
      <c r="N22" s="42">
        <f>SUM(N16:N21)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N1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5390625" defaultRowHeight="15" zeroHeight="0" outlineLevelRow="0"/>
  <cols>
    <col width="40" customWidth="1" style="28" min="1" max="1"/>
    <col width="10" customWidth="1" style="28" min="2" max="15"/>
  </cols>
  <sheetData>
    <row r="1" ht="17.25" customHeight="1" s="29">
      <c r="A1" s="30" t="inlineStr">
        <is>
          <t>Monthly Revenue Share — Option B (recoup, then share)</t>
        </is>
      </c>
    </row>
    <row r="2" ht="15" customHeight="1" s="29">
      <c r="A2" s="33" t="inlineStr">
        <is>
          <t>Net Revenue = gross − processing fees. D. Chapa receives the recoup % until the build value is repaid, then the ongoing %.</t>
        </is>
      </c>
    </row>
    <row r="4" ht="15" customHeight="1" s="29">
      <c r="A4" s="44" t="inlineStr">
        <is>
          <t>Month</t>
        </is>
      </c>
      <c r="B4" s="44" t="inlineStr">
        <is>
          <t>Oct-26</t>
        </is>
      </c>
      <c r="C4" s="44" t="inlineStr">
        <is>
          <t>Nov-26</t>
        </is>
      </c>
      <c r="D4" s="44" t="inlineStr">
        <is>
          <t>Dec-26</t>
        </is>
      </c>
      <c r="E4" s="44" t="inlineStr">
        <is>
          <t>Jan-27</t>
        </is>
      </c>
      <c r="F4" s="44" t="inlineStr">
        <is>
          <t>Feb-27</t>
        </is>
      </c>
      <c r="G4" s="44" t="inlineStr">
        <is>
          <t>Mar-27</t>
        </is>
      </c>
      <c r="H4" s="44" t="inlineStr">
        <is>
          <t>Apr-27</t>
        </is>
      </c>
      <c r="I4" s="44" t="inlineStr">
        <is>
          <t>May-27</t>
        </is>
      </c>
      <c r="J4" s="44" t="inlineStr">
        <is>
          <t>Jun-27</t>
        </is>
      </c>
      <c r="K4" s="44" t="inlineStr">
        <is>
          <t>Jul-27</t>
        </is>
      </c>
      <c r="L4" s="44" t="inlineStr">
        <is>
          <t>Aug-27</t>
        </is>
      </c>
      <c r="M4" s="44" t="inlineStr">
        <is>
          <t>Sep-27</t>
        </is>
      </c>
      <c r="N4" s="44" t="inlineStr">
        <is>
          <t>Year 1</t>
        </is>
      </c>
    </row>
    <row r="5" ht="15" customHeight="1" s="29">
      <c r="A5" s="31" t="inlineStr">
        <is>
          <t>Gross revenue</t>
        </is>
      </c>
      <c r="B5" s="43">
        <f>'4. Sales Forecast'!B22</f>
        <v/>
      </c>
      <c r="C5" s="43">
        <f>'4. Sales Forecast'!C22</f>
        <v/>
      </c>
      <c r="D5" s="43">
        <f>'4. Sales Forecast'!D22</f>
        <v/>
      </c>
      <c r="E5" s="43">
        <f>'4. Sales Forecast'!E22</f>
        <v/>
      </c>
      <c r="F5" s="43">
        <f>'4. Sales Forecast'!F22</f>
        <v/>
      </c>
      <c r="G5" s="43">
        <f>'4. Sales Forecast'!G22</f>
        <v/>
      </c>
      <c r="H5" s="43">
        <f>'4. Sales Forecast'!H22</f>
        <v/>
      </c>
      <c r="I5" s="43">
        <f>'4. Sales Forecast'!I22</f>
        <v/>
      </c>
      <c r="J5" s="43">
        <f>'4. Sales Forecast'!J22</f>
        <v/>
      </c>
      <c r="K5" s="43">
        <f>'4. Sales Forecast'!K22</f>
        <v/>
      </c>
      <c r="L5" s="43">
        <f>'4. Sales Forecast'!L22</f>
        <v/>
      </c>
      <c r="M5" s="43">
        <f>'4. Sales Forecast'!M22</f>
        <v/>
      </c>
      <c r="N5" s="42">
        <f>SUM(B5:M5)</f>
        <v/>
      </c>
    </row>
    <row r="6" ht="15" customHeight="1" s="29">
      <c r="A6" s="31" t="inlineStr">
        <is>
          <t>Less: processing &amp; platform fees</t>
        </is>
      </c>
      <c r="B6" s="46">
        <f>B5*Assumptions!$B$14</f>
        <v/>
      </c>
      <c r="C6" s="46">
        <f>C5*Assumptions!$B$14</f>
        <v/>
      </c>
      <c r="D6" s="46">
        <f>D5*Assumptions!$B$14</f>
        <v/>
      </c>
      <c r="E6" s="46">
        <f>E5*Assumptions!$B$14</f>
        <v/>
      </c>
      <c r="F6" s="46">
        <f>F5*Assumptions!$B$14</f>
        <v/>
      </c>
      <c r="G6" s="46">
        <f>G5*Assumptions!$B$14</f>
        <v/>
      </c>
      <c r="H6" s="46">
        <f>H5*Assumptions!$B$14</f>
        <v/>
      </c>
      <c r="I6" s="46">
        <f>I5*Assumptions!$B$14</f>
        <v/>
      </c>
      <c r="J6" s="46">
        <f>J5*Assumptions!$B$14</f>
        <v/>
      </c>
      <c r="K6" s="46">
        <f>K5*Assumptions!$B$14</f>
        <v/>
      </c>
      <c r="L6" s="46">
        <f>L5*Assumptions!$B$14</f>
        <v/>
      </c>
      <c r="M6" s="46">
        <f>M5*Assumptions!$B$14</f>
        <v/>
      </c>
      <c r="N6" s="42">
        <f>SUM(B6:M6)</f>
        <v/>
      </c>
    </row>
    <row r="7" ht="15" customHeight="1" s="29">
      <c r="A7" s="36" t="inlineStr">
        <is>
          <t>Net Revenue</t>
        </is>
      </c>
      <c r="B7" s="42">
        <f>B5-B6</f>
        <v/>
      </c>
      <c r="C7" s="42">
        <f>C5-C6</f>
        <v/>
      </c>
      <c r="D7" s="42">
        <f>D5-D6</f>
        <v/>
      </c>
      <c r="E7" s="42">
        <f>E5-E6</f>
        <v/>
      </c>
      <c r="F7" s="42">
        <f>F5-F6</f>
        <v/>
      </c>
      <c r="G7" s="42">
        <f>G5-G6</f>
        <v/>
      </c>
      <c r="H7" s="42">
        <f>H5-H6</f>
        <v/>
      </c>
      <c r="I7" s="42">
        <f>I5-I6</f>
        <v/>
      </c>
      <c r="J7" s="42">
        <f>J5-J6</f>
        <v/>
      </c>
      <c r="K7" s="42">
        <f>K5-K6</f>
        <v/>
      </c>
      <c r="L7" s="42">
        <f>L5-L6</f>
        <v/>
      </c>
      <c r="M7" s="42">
        <f>M5-M6</f>
        <v/>
      </c>
      <c r="N7" s="42">
        <f>SUM(B7:M7)</f>
        <v/>
      </c>
    </row>
    <row r="8" ht="15" customHeight="1" s="29">
      <c r="A8" s="31" t="inlineStr">
        <is>
          <t>Cumulative recoup paid (start of month)</t>
        </is>
      </c>
      <c r="B8" s="45" t="n">
        <v>0</v>
      </c>
      <c r="C8" s="46">
        <f>B8+MIN(B7*Assumptions!$B$12,B9)</f>
        <v/>
      </c>
      <c r="D8" s="46">
        <f>C8+MIN(C7*Assumptions!$B$12,C9)</f>
        <v/>
      </c>
      <c r="E8" s="46">
        <f>D8+MIN(D7*Assumptions!$B$12,D9)</f>
        <v/>
      </c>
      <c r="F8" s="46">
        <f>E8+MIN(E7*Assumptions!$B$12,E9)</f>
        <v/>
      </c>
      <c r="G8" s="46">
        <f>F8+MIN(F7*Assumptions!$B$12,F9)</f>
        <v/>
      </c>
      <c r="H8" s="46">
        <f>G8+MIN(G7*Assumptions!$B$12,G9)</f>
        <v/>
      </c>
      <c r="I8" s="46">
        <f>H8+MIN(H7*Assumptions!$B$12,H9)</f>
        <v/>
      </c>
      <c r="J8" s="46">
        <f>I8+MIN(I7*Assumptions!$B$12,I9)</f>
        <v/>
      </c>
      <c r="K8" s="46">
        <f>J8+MIN(J7*Assumptions!$B$12,J9)</f>
        <v/>
      </c>
      <c r="L8" s="46">
        <f>K8+MIN(K7*Assumptions!$B$12,K9)</f>
        <v/>
      </c>
      <c r="M8" s="46">
        <f>L8+MIN(L7*Assumptions!$B$12,L9)</f>
        <v/>
      </c>
    </row>
    <row r="9" ht="15" customHeight="1" s="29">
      <c r="A9" s="31" t="inlineStr">
        <is>
          <t>Recoup remaining</t>
        </is>
      </c>
      <c r="B9" s="46">
        <f>MAX(0,Assumptions!$B$11-B8)</f>
        <v/>
      </c>
      <c r="C9" s="46">
        <f>MAX(0,Assumptions!$B$11-C8)</f>
        <v/>
      </c>
      <c r="D9" s="46">
        <f>MAX(0,Assumptions!$B$11-D8)</f>
        <v/>
      </c>
      <c r="E9" s="46">
        <f>MAX(0,Assumptions!$B$11-E8)</f>
        <v/>
      </c>
      <c r="F9" s="46">
        <f>MAX(0,Assumptions!$B$11-F8)</f>
        <v/>
      </c>
      <c r="G9" s="46">
        <f>MAX(0,Assumptions!$B$11-G8)</f>
        <v/>
      </c>
      <c r="H9" s="46">
        <f>MAX(0,Assumptions!$B$11-H8)</f>
        <v/>
      </c>
      <c r="I9" s="46">
        <f>MAX(0,Assumptions!$B$11-I8)</f>
        <v/>
      </c>
      <c r="J9" s="46">
        <f>MAX(0,Assumptions!$B$11-J8)</f>
        <v/>
      </c>
      <c r="K9" s="46">
        <f>MAX(0,Assumptions!$B$11-K8)</f>
        <v/>
      </c>
      <c r="L9" s="46">
        <f>MAX(0,Assumptions!$B$11-L8)</f>
        <v/>
      </c>
      <c r="M9" s="46">
        <f>MAX(0,Assumptions!$B$11-M8)</f>
        <v/>
      </c>
    </row>
    <row r="10" ht="15" customHeight="1" s="29">
      <c r="A10" s="31" t="inlineStr">
        <is>
          <t>D. Chapa share %</t>
        </is>
      </c>
      <c r="B10" s="47">
        <f>IF(B9&gt;0,Assumptions!$B$12,Assumptions!$B$13)</f>
        <v/>
      </c>
      <c r="C10" s="47">
        <f>IF(C9&gt;0,Assumptions!$B$12,Assumptions!$B$13)</f>
        <v/>
      </c>
      <c r="D10" s="47">
        <f>IF(D9&gt;0,Assumptions!$B$12,Assumptions!$B$13)</f>
        <v/>
      </c>
      <c r="E10" s="47">
        <f>IF(E9&gt;0,Assumptions!$B$12,Assumptions!$B$13)</f>
        <v/>
      </c>
      <c r="F10" s="47">
        <f>IF(F9&gt;0,Assumptions!$B$12,Assumptions!$B$13)</f>
        <v/>
      </c>
      <c r="G10" s="47">
        <f>IF(G9&gt;0,Assumptions!$B$12,Assumptions!$B$13)</f>
        <v/>
      </c>
      <c r="H10" s="47">
        <f>IF(H9&gt;0,Assumptions!$B$12,Assumptions!$B$13)</f>
        <v/>
      </c>
      <c r="I10" s="47">
        <f>IF(I9&gt;0,Assumptions!$B$12,Assumptions!$B$13)</f>
        <v/>
      </c>
      <c r="J10" s="47">
        <f>IF(J9&gt;0,Assumptions!$B$12,Assumptions!$B$13)</f>
        <v/>
      </c>
      <c r="K10" s="47">
        <f>IF(K9&gt;0,Assumptions!$B$12,Assumptions!$B$13)</f>
        <v/>
      </c>
      <c r="L10" s="47">
        <f>IF(L9&gt;0,Assumptions!$B$12,Assumptions!$B$13)</f>
        <v/>
      </c>
      <c r="M10" s="47">
        <f>IF(M9&gt;0,Assumptions!$B$12,Assumptions!$B$13)</f>
        <v/>
      </c>
    </row>
    <row r="11" ht="15" customHeight="1" s="29">
      <c r="A11" s="36" t="inlineStr">
        <is>
          <t>D. Chapa distribution</t>
        </is>
      </c>
      <c r="B11" s="42">
        <f>IF(B9&gt;0,MIN(B7*Assumptions!$B$12,B9)+MAX(0,(B7-B9/Assumptions!$B$12))*Assumptions!$B$13,B7*Assumptions!$B$13)</f>
        <v/>
      </c>
      <c r="C11" s="42">
        <f>IF(C9&gt;0,MIN(C7*Assumptions!$B$12,C9)+MAX(0,(C7-C9/Assumptions!$B$12))*Assumptions!$B$13,C7*Assumptions!$B$13)</f>
        <v/>
      </c>
      <c r="D11" s="42">
        <f>IF(D9&gt;0,MIN(D7*Assumptions!$B$12,D9)+MAX(0,(D7-D9/Assumptions!$B$12))*Assumptions!$B$13,D7*Assumptions!$B$13)</f>
        <v/>
      </c>
      <c r="E11" s="42">
        <f>IF(E9&gt;0,MIN(E7*Assumptions!$B$12,E9)+MAX(0,(E7-E9/Assumptions!$B$12))*Assumptions!$B$13,E7*Assumptions!$B$13)</f>
        <v/>
      </c>
      <c r="F11" s="42">
        <f>IF(F9&gt;0,MIN(F7*Assumptions!$B$12,F9)+MAX(0,(F7-F9/Assumptions!$B$12))*Assumptions!$B$13,F7*Assumptions!$B$13)</f>
        <v/>
      </c>
      <c r="G11" s="42">
        <f>IF(G9&gt;0,MIN(G7*Assumptions!$B$12,G9)+MAX(0,(G7-G9/Assumptions!$B$12))*Assumptions!$B$13,G7*Assumptions!$B$13)</f>
        <v/>
      </c>
      <c r="H11" s="42">
        <f>IF(H9&gt;0,MIN(H7*Assumptions!$B$12,H9)+MAX(0,(H7-H9/Assumptions!$B$12))*Assumptions!$B$13,H7*Assumptions!$B$13)</f>
        <v/>
      </c>
      <c r="I11" s="42">
        <f>IF(I9&gt;0,MIN(I7*Assumptions!$B$12,I9)+MAX(0,(I7-I9/Assumptions!$B$12))*Assumptions!$B$13,I7*Assumptions!$B$13)</f>
        <v/>
      </c>
      <c r="J11" s="42">
        <f>IF(J9&gt;0,MIN(J7*Assumptions!$B$12,J9)+MAX(0,(J7-J9/Assumptions!$B$12))*Assumptions!$B$13,J7*Assumptions!$B$13)</f>
        <v/>
      </c>
      <c r="K11" s="42">
        <f>IF(K9&gt;0,MIN(K7*Assumptions!$B$12,K9)+MAX(0,(K7-K9/Assumptions!$B$12))*Assumptions!$B$13,K7*Assumptions!$B$13)</f>
        <v/>
      </c>
      <c r="L11" s="42">
        <f>IF(L9&gt;0,MIN(L7*Assumptions!$B$12,L9)+MAX(0,(L7-L9/Assumptions!$B$12))*Assumptions!$B$13,L7*Assumptions!$B$13)</f>
        <v/>
      </c>
      <c r="M11" s="42">
        <f>IF(M9&gt;0,MIN(M7*Assumptions!$B$12,M9)+MAX(0,(M7-M9/Assumptions!$B$12))*Assumptions!$B$13,M7*Assumptions!$B$13)</f>
        <v/>
      </c>
      <c r="N11" s="42">
        <f>SUM(B11:M11)</f>
        <v/>
      </c>
    </row>
    <row r="12" ht="15" customHeight="1" s="29">
      <c r="A12" s="36" t="inlineStr">
        <is>
          <t>S. Lund (owner) distribution</t>
        </is>
      </c>
      <c r="B12" s="42">
        <f>B7-B11</f>
        <v/>
      </c>
      <c r="C12" s="42">
        <f>C7-C11</f>
        <v/>
      </c>
      <c r="D12" s="42">
        <f>D7-D11</f>
        <v/>
      </c>
      <c r="E12" s="42">
        <f>E7-E11</f>
        <v/>
      </c>
      <c r="F12" s="42">
        <f>F7-F11</f>
        <v/>
      </c>
      <c r="G12" s="42">
        <f>G7-G11</f>
        <v/>
      </c>
      <c r="H12" s="42">
        <f>H7-H11</f>
        <v/>
      </c>
      <c r="I12" s="42">
        <f>I7-I11</f>
        <v/>
      </c>
      <c r="J12" s="42">
        <f>J7-J11</f>
        <v/>
      </c>
      <c r="K12" s="42">
        <f>K7-K11</f>
        <v/>
      </c>
      <c r="L12" s="42">
        <f>L7-L11</f>
        <v/>
      </c>
      <c r="M12" s="42">
        <f>M7-M11</f>
        <v/>
      </c>
      <c r="N12" s="42">
        <f>SUM(B12:M12)</f>
        <v/>
      </c>
    </row>
    <row r="14" ht="15" customHeight="1" s="29">
      <c r="A14" s="41" t="inlineStr">
        <is>
          <t>Recoup logic: within a recoup month, the recoup % applies to Net Revenue up to the remaining build value; any excess that month reverts to the ongoing %.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N16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5390625" defaultRowHeight="15" zeroHeight="0" outlineLevelRow="0"/>
  <cols>
    <col width="42" customWidth="1" style="28" min="1" max="1"/>
    <col width="10" customWidth="1" style="28" min="2" max="15"/>
  </cols>
  <sheetData>
    <row r="1" ht="17.35" customHeight="1" s="29">
      <c r="A1" s="30" t="inlineStr">
        <is>
          <t>Cash Receipts and Disbursements — Year 1 (monthly, base structure)</t>
        </is>
      </c>
    </row>
    <row r="2" ht="15" customHeight="1" s="29">
      <c r="A2" s="41" t="inlineStr">
        <is>
          <t>All values flow from the Sales Forecast, Revenue Share, and Assumptions tabs. Political revenue is prepaid; local accounts net-15 (treated as in-month at this planning grain).</t>
        </is>
      </c>
    </row>
    <row r="4" ht="15" customHeight="1" s="29">
      <c r="A4" s="36" t="n"/>
      <c r="B4" s="44" t="inlineStr">
        <is>
          <t>Oct-26</t>
        </is>
      </c>
      <c r="C4" s="44" t="inlineStr">
        <is>
          <t>Nov-26</t>
        </is>
      </c>
      <c r="D4" s="44" t="inlineStr">
        <is>
          <t>Dec-26</t>
        </is>
      </c>
      <c r="E4" s="44" t="inlineStr">
        <is>
          <t>Jan-27</t>
        </is>
      </c>
      <c r="F4" s="44" t="inlineStr">
        <is>
          <t>Feb-27</t>
        </is>
      </c>
      <c r="G4" s="44" t="inlineStr">
        <is>
          <t>Mar-27</t>
        </is>
      </c>
      <c r="H4" s="44" t="inlineStr">
        <is>
          <t>Apr-27</t>
        </is>
      </c>
      <c r="I4" s="44" t="inlineStr">
        <is>
          <t>May-27</t>
        </is>
      </c>
      <c r="J4" s="44" t="inlineStr">
        <is>
          <t>Jun-27</t>
        </is>
      </c>
      <c r="K4" s="44" t="inlineStr">
        <is>
          <t>Jul-27</t>
        </is>
      </c>
      <c r="L4" s="44" t="inlineStr">
        <is>
          <t>Aug-27</t>
        </is>
      </c>
      <c r="M4" s="44" t="inlineStr">
        <is>
          <t>Sep-27</t>
        </is>
      </c>
      <c r="N4" s="44" t="inlineStr">
        <is>
          <t>Year 1</t>
        </is>
      </c>
    </row>
    <row r="5" ht="15" customHeight="1" s="29">
      <c r="A5" s="31" t="inlineStr">
        <is>
          <t>Beginning cash</t>
        </is>
      </c>
      <c r="B5" s="46" t="n">
        <v>0</v>
      </c>
      <c r="C5" s="46">
        <f>B14</f>
        <v/>
      </c>
      <c r="D5" s="46">
        <f>C14</f>
        <v/>
      </c>
      <c r="E5" s="46">
        <f>D14</f>
        <v/>
      </c>
      <c r="F5" s="46">
        <f>E14</f>
        <v/>
      </c>
      <c r="G5" s="46">
        <f>F14</f>
        <v/>
      </c>
      <c r="H5" s="46">
        <f>G14</f>
        <v/>
      </c>
      <c r="I5" s="46">
        <f>H14</f>
        <v/>
      </c>
      <c r="J5" s="46">
        <f>I14</f>
        <v/>
      </c>
      <c r="K5" s="46">
        <f>J14</f>
        <v/>
      </c>
      <c r="L5" s="46">
        <f>K14</f>
        <v/>
      </c>
      <c r="M5" s="46">
        <f>L14</f>
        <v/>
      </c>
    </row>
    <row r="6" ht="15" customHeight="1" s="29">
      <c r="A6" s="31" t="inlineStr">
        <is>
          <t>Cash receipts: advertising &amp; sponsorship revenue</t>
        </is>
      </c>
      <c r="B6" s="43">
        <f>'4. Sales Forecast'!B22</f>
        <v/>
      </c>
      <c r="C6" s="43">
        <f>'4. Sales Forecast'!C22</f>
        <v/>
      </c>
      <c r="D6" s="43">
        <f>'4. Sales Forecast'!D22</f>
        <v/>
      </c>
      <c r="E6" s="43">
        <f>'4. Sales Forecast'!E22</f>
        <v/>
      </c>
      <c r="F6" s="43">
        <f>'4. Sales Forecast'!F22</f>
        <v/>
      </c>
      <c r="G6" s="43">
        <f>'4. Sales Forecast'!G22</f>
        <v/>
      </c>
      <c r="H6" s="43">
        <f>'4. Sales Forecast'!H22</f>
        <v/>
      </c>
      <c r="I6" s="43">
        <f>'4. Sales Forecast'!I22</f>
        <v/>
      </c>
      <c r="J6" s="43">
        <f>'4. Sales Forecast'!J22</f>
        <v/>
      </c>
      <c r="K6" s="43">
        <f>'4. Sales Forecast'!K22</f>
        <v/>
      </c>
      <c r="L6" s="43">
        <f>'4. Sales Forecast'!L22</f>
        <v/>
      </c>
      <c r="M6" s="43">
        <f>'4. Sales Forecast'!M22</f>
        <v/>
      </c>
      <c r="N6" s="42">
        <f>SUM(B6:M6)</f>
        <v/>
      </c>
    </row>
    <row r="7" ht="15" customHeight="1" s="29">
      <c r="A7" s="36" t="inlineStr">
        <is>
          <t>Total cash available</t>
        </is>
      </c>
      <c r="B7" s="42">
        <f>B5+B6</f>
        <v/>
      </c>
      <c r="C7" s="42">
        <f>C5+C6</f>
        <v/>
      </c>
      <c r="D7" s="42">
        <f>D5+D6</f>
        <v/>
      </c>
      <c r="E7" s="42">
        <f>E5+E6</f>
        <v/>
      </c>
      <c r="F7" s="42">
        <f>F5+F6</f>
        <v/>
      </c>
      <c r="G7" s="42">
        <f>G5+G6</f>
        <v/>
      </c>
      <c r="H7" s="42">
        <f>H5+H6</f>
        <v/>
      </c>
      <c r="I7" s="42">
        <f>I5+I6</f>
        <v/>
      </c>
      <c r="J7" s="42">
        <f>J5+J6</f>
        <v/>
      </c>
      <c r="K7" s="42">
        <f>K5+K6</f>
        <v/>
      </c>
      <c r="L7" s="42">
        <f>L5+L6</f>
        <v/>
      </c>
      <c r="M7" s="42">
        <f>M5+M6</f>
        <v/>
      </c>
    </row>
    <row r="8" ht="15" customHeight="1" s="29">
      <c r="A8" s="31" t="inlineStr">
        <is>
          <t>Disbursements: processing &amp; platform fees</t>
        </is>
      </c>
      <c r="B8" s="43">
        <f>'Revenue Share'!B6</f>
        <v/>
      </c>
      <c r="C8" s="43">
        <f>'Revenue Share'!C6</f>
        <v/>
      </c>
      <c r="D8" s="43">
        <f>'Revenue Share'!D6</f>
        <v/>
      </c>
      <c r="E8" s="43">
        <f>'Revenue Share'!E6</f>
        <v/>
      </c>
      <c r="F8" s="43">
        <f>'Revenue Share'!F6</f>
        <v/>
      </c>
      <c r="G8" s="43">
        <f>'Revenue Share'!G6</f>
        <v/>
      </c>
      <c r="H8" s="43">
        <f>'Revenue Share'!H6</f>
        <v/>
      </c>
      <c r="I8" s="43">
        <f>'Revenue Share'!I6</f>
        <v/>
      </c>
      <c r="J8" s="43">
        <f>'Revenue Share'!J6</f>
        <v/>
      </c>
      <c r="K8" s="43">
        <f>'Revenue Share'!K6</f>
        <v/>
      </c>
      <c r="L8" s="43">
        <f>'Revenue Share'!L6</f>
        <v/>
      </c>
      <c r="M8" s="43">
        <f>'Revenue Share'!M6</f>
        <v/>
      </c>
      <c r="N8" s="42">
        <f>SUM(B8:M8)</f>
        <v/>
      </c>
    </row>
    <row r="9" ht="15" customHeight="1" s="29">
      <c r="A9" s="31" t="inlineStr">
        <is>
          <t>Disbursements: fixed operating expenses</t>
        </is>
      </c>
      <c r="B9" s="43">
        <f>Assumptions!$B$38</f>
        <v/>
      </c>
      <c r="C9" s="43">
        <f>Assumptions!$B$38</f>
        <v/>
      </c>
      <c r="D9" s="43">
        <f>Assumptions!$B$38</f>
        <v/>
      </c>
      <c r="E9" s="43">
        <f>Assumptions!$B$38</f>
        <v/>
      </c>
      <c r="F9" s="43">
        <f>Assumptions!$B$38</f>
        <v/>
      </c>
      <c r="G9" s="43">
        <f>Assumptions!$B$38</f>
        <v/>
      </c>
      <c r="H9" s="43">
        <f>Assumptions!$B$38</f>
        <v/>
      </c>
      <c r="I9" s="43">
        <f>Assumptions!$B$38</f>
        <v/>
      </c>
      <c r="J9" s="43">
        <f>Assumptions!$B$38</f>
        <v/>
      </c>
      <c r="K9" s="43">
        <f>Assumptions!$B$38</f>
        <v/>
      </c>
      <c r="L9" s="43">
        <f>Assumptions!$B$38</f>
        <v/>
      </c>
      <c r="M9" s="43">
        <f>Assumptions!$B$38</f>
        <v/>
      </c>
      <c r="N9" s="42">
        <f>SUM(B9:M9)</f>
        <v/>
      </c>
    </row>
    <row r="10" ht="15" customHeight="1" s="29">
      <c r="A10" s="31" t="inlineStr">
        <is>
          <t>Disbursements: start-up costs (month 1)</t>
        </is>
      </c>
      <c r="B10" s="43">
        <f>Assumptions!$B$25</f>
        <v/>
      </c>
      <c r="C10" s="46" t="n">
        <v>0</v>
      </c>
      <c r="D10" s="46" t="n">
        <v>0</v>
      </c>
      <c r="E10" s="46" t="n">
        <v>0</v>
      </c>
      <c r="F10" s="46" t="n">
        <v>0</v>
      </c>
      <c r="G10" s="46" t="n">
        <v>0</v>
      </c>
      <c r="H10" s="46" t="n">
        <v>0</v>
      </c>
      <c r="I10" s="46" t="n">
        <v>0</v>
      </c>
      <c r="J10" s="46" t="n">
        <v>0</v>
      </c>
      <c r="K10" s="46" t="n">
        <v>0</v>
      </c>
      <c r="L10" s="46" t="n">
        <v>0</v>
      </c>
      <c r="M10" s="46" t="n">
        <v>0</v>
      </c>
      <c r="N10" s="42">
        <f>SUM(B10:M10)</f>
        <v/>
      </c>
    </row>
    <row r="11" ht="15" customHeight="1" s="29">
      <c r="A11" s="31" t="inlineStr">
        <is>
          <t>Disbursements: GM revenue-share distribution</t>
        </is>
      </c>
      <c r="B11" s="43">
        <f>'Revenue Share'!B11</f>
        <v/>
      </c>
      <c r="C11" s="43">
        <f>'Revenue Share'!C11</f>
        <v/>
      </c>
      <c r="D11" s="43">
        <f>'Revenue Share'!D11</f>
        <v/>
      </c>
      <c r="E11" s="43">
        <f>'Revenue Share'!E11</f>
        <v/>
      </c>
      <c r="F11" s="43">
        <f>'Revenue Share'!F11</f>
        <v/>
      </c>
      <c r="G11" s="43">
        <f>'Revenue Share'!G11</f>
        <v/>
      </c>
      <c r="H11" s="43">
        <f>'Revenue Share'!H11</f>
        <v/>
      </c>
      <c r="I11" s="43">
        <f>'Revenue Share'!I11</f>
        <v/>
      </c>
      <c r="J11" s="43">
        <f>'Revenue Share'!J11</f>
        <v/>
      </c>
      <c r="K11" s="43">
        <f>'Revenue Share'!K11</f>
        <v/>
      </c>
      <c r="L11" s="43">
        <f>'Revenue Share'!L11</f>
        <v/>
      </c>
      <c r="M11" s="43">
        <f>'Revenue Share'!M11</f>
        <v/>
      </c>
      <c r="N11" s="42">
        <f>SUM(B11:M11)</f>
        <v/>
      </c>
    </row>
    <row r="12" ht="15" customHeight="1" s="29">
      <c r="A12" s="36" t="inlineStr">
        <is>
          <t>Total disbursements</t>
        </is>
      </c>
      <c r="B12" s="42">
        <f>SUM(B8:B11)</f>
        <v/>
      </c>
      <c r="C12" s="42">
        <f>SUM(C8:C11)</f>
        <v/>
      </c>
      <c r="D12" s="42">
        <f>SUM(D8:D11)</f>
        <v/>
      </c>
      <c r="E12" s="42">
        <f>SUM(E8:E11)</f>
        <v/>
      </c>
      <c r="F12" s="42">
        <f>SUM(F8:F11)</f>
        <v/>
      </c>
      <c r="G12" s="42">
        <f>SUM(G8:G11)</f>
        <v/>
      </c>
      <c r="H12" s="42">
        <f>SUM(H8:H11)</f>
        <v/>
      </c>
      <c r="I12" s="42">
        <f>SUM(I8:I11)</f>
        <v/>
      </c>
      <c r="J12" s="42">
        <f>SUM(J8:J11)</f>
        <v/>
      </c>
      <c r="K12" s="42">
        <f>SUM(K8:K11)</f>
        <v/>
      </c>
      <c r="L12" s="42">
        <f>SUM(L8:L11)</f>
        <v/>
      </c>
      <c r="M12" s="42">
        <f>SUM(M8:M11)</f>
        <v/>
      </c>
      <c r="N12" s="42">
        <f>SUM(B12:M12)</f>
        <v/>
      </c>
    </row>
    <row r="13" ht="15" customHeight="1" s="29">
      <c r="A13" s="36" t="inlineStr">
        <is>
          <t>Net cash flow (founder position)</t>
        </is>
      </c>
      <c r="B13" s="42">
        <f>B6-B12</f>
        <v/>
      </c>
      <c r="C13" s="42">
        <f>C6-C12</f>
        <v/>
      </c>
      <c r="D13" s="42">
        <f>D6-D12</f>
        <v/>
      </c>
      <c r="E13" s="42">
        <f>E6-E12</f>
        <v/>
      </c>
      <c r="F13" s="42">
        <f>F6-F12</f>
        <v/>
      </c>
      <c r="G13" s="42">
        <f>G6-G12</f>
        <v/>
      </c>
      <c r="H13" s="42">
        <f>H6-H12</f>
        <v/>
      </c>
      <c r="I13" s="42">
        <f>I6-I12</f>
        <v/>
      </c>
      <c r="J13" s="42">
        <f>J6-J12</f>
        <v/>
      </c>
      <c r="K13" s="42">
        <f>K6-K12</f>
        <v/>
      </c>
      <c r="L13" s="42">
        <f>L6-L12</f>
        <v/>
      </c>
      <c r="M13" s="42">
        <f>M6-M12</f>
        <v/>
      </c>
      <c r="N13" s="42">
        <f>SUM(B13:M13)</f>
        <v/>
      </c>
    </row>
    <row r="14" ht="15" customHeight="1" s="29">
      <c r="A14" s="36" t="inlineStr">
        <is>
          <t>Ending cash (cumulative to founder)</t>
        </is>
      </c>
      <c r="B14" s="42">
        <f>B7-B12</f>
        <v/>
      </c>
      <c r="C14" s="42">
        <f>C7-C12</f>
        <v/>
      </c>
      <c r="D14" s="42">
        <f>D7-D12</f>
        <v/>
      </c>
      <c r="E14" s="42">
        <f>E7-E12</f>
        <v/>
      </c>
      <c r="F14" s="42">
        <f>F7-F12</f>
        <v/>
      </c>
      <c r="G14" s="42">
        <f>G7-G12</f>
        <v/>
      </c>
      <c r="H14" s="42">
        <f>H7-H12</f>
        <v/>
      </c>
      <c r="I14" s="42">
        <f>I7-I12</f>
        <v/>
      </c>
      <c r="J14" s="42">
        <f>J7-J12</f>
        <v/>
      </c>
      <c r="K14" s="42">
        <f>K7-K12</f>
        <v/>
      </c>
      <c r="L14" s="42">
        <f>L7-L12</f>
        <v/>
      </c>
      <c r="M14" s="42">
        <f>M7-M12</f>
        <v/>
      </c>
      <c r="N14" s="42">
        <f>M14</f>
        <v/>
      </c>
    </row>
    <row r="16" ht="15" customHeight="1" s="29">
      <c r="A16" s="41" t="inlineStr">
        <is>
          <t>Ending cash equals the founder cumulative position: it goes briefly negative only if early-month revenue underruns the start-up outlay; in the base case it is positive from month one.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5390625" defaultRowHeight="15" zeroHeight="0" outlineLevelRow="0"/>
  <cols>
    <col width="40" customWidth="1" style="28" min="1" max="1"/>
    <col width="14" customWidth="1" style="28" min="2" max="4"/>
  </cols>
  <sheetData>
    <row r="1" ht="17.25" customHeight="1" s="29">
      <c r="A1" s="30" t="inlineStr">
        <is>
          <t>Income Statement — Years 1–3 (scenario-adjusted)</t>
        </is>
      </c>
    </row>
    <row r="2" ht="15" customHeight="1" s="29">
      <c r="A2" s="33" t="inlineStr">
        <is>
          <t>Year 2–3 revenue = prior-year line totals × growth factors (Assumptions). Rev-share distributions shown below net income line as owner draws.</t>
        </is>
      </c>
    </row>
    <row r="4" ht="15" customHeight="1" s="29">
      <c r="A4" s="36" t="n"/>
      <c r="B4" s="44" t="inlineStr">
        <is>
          <t>Year 1 (FY27)</t>
        </is>
      </c>
      <c r="C4" s="44" t="inlineStr">
        <is>
          <t>Year 2 (FY28)</t>
        </is>
      </c>
      <c r="D4" s="44" t="inlineStr">
        <is>
          <t>Year 3 (FY29)</t>
        </is>
      </c>
    </row>
    <row r="5" ht="15" customHeight="1" s="29">
      <c r="A5" s="31" t="inlineStr">
        <is>
          <t>Political advertising</t>
        </is>
      </c>
      <c r="B5" s="43">
        <f>'4. Sales Forecast'!N16</f>
        <v/>
      </c>
      <c r="C5" s="46">
        <f>B5*Assumptions!$B$42</f>
        <v/>
      </c>
      <c r="D5" s="46">
        <f>C5*Assumptions!$C$42</f>
        <v/>
      </c>
    </row>
    <row r="6" ht="15" customHeight="1" s="29">
      <c r="A6" s="31" t="inlineStr">
        <is>
          <t>Direct local ads &amp; sponsorships</t>
        </is>
      </c>
      <c r="B6" s="43">
        <f>'4. Sales Forecast'!N17</f>
        <v/>
      </c>
      <c r="C6" s="46">
        <f>B6*Assumptions!$B$43</f>
        <v/>
      </c>
      <c r="D6" s="46">
        <f>C6*Assumptions!$C$43</f>
        <v/>
      </c>
    </row>
    <row r="7" ht="15" customHeight="1" s="29">
      <c r="A7" s="31" t="inlineStr">
        <is>
          <t>Programmatic display</t>
        </is>
      </c>
      <c r="B7" s="43">
        <f>'4. Sales Forecast'!N18</f>
        <v/>
      </c>
      <c r="C7" s="46">
        <f>B7*Assumptions!$B$44</f>
        <v/>
      </c>
      <c r="D7" s="46">
        <f>C7*Assumptions!$C$44</f>
        <v/>
      </c>
    </row>
    <row r="8" ht="15" customHeight="1" s="29">
      <c r="A8" s="31" t="inlineStr">
        <is>
          <t>Sponsored content</t>
        </is>
      </c>
      <c r="B8" s="43">
        <f>'4. Sales Forecast'!N19</f>
        <v/>
      </c>
      <c r="C8" s="46">
        <f>B8*Assumptions!$B$45</f>
        <v/>
      </c>
      <c r="D8" s="46">
        <f>C8*Assumptions!$C$45</f>
        <v/>
      </c>
    </row>
    <row r="9" ht="15" customHeight="1" s="29">
      <c r="A9" s="31" t="inlineStr">
        <is>
          <t>Events calendar</t>
        </is>
      </c>
      <c r="B9" s="43">
        <f>'4. Sales Forecast'!N20</f>
        <v/>
      </c>
      <c r="C9" s="46">
        <f>B9*Assumptions!$B$46</f>
        <v/>
      </c>
      <c r="D9" s="46">
        <f>C9*Assumptions!$C$46</f>
        <v/>
      </c>
    </row>
    <row r="10" ht="15" customHeight="1" s="29">
      <c r="A10" s="31" t="inlineStr">
        <is>
          <t>Newsletter sponsorships</t>
        </is>
      </c>
      <c r="B10" s="43">
        <f>'4. Sales Forecast'!N21</f>
        <v/>
      </c>
      <c r="C10" s="46">
        <f>B10*Assumptions!$B$47</f>
        <v/>
      </c>
      <c r="D10" s="46">
        <f>C10*Assumptions!$C$47</f>
        <v/>
      </c>
    </row>
    <row r="11" ht="15" customHeight="1" s="29">
      <c r="A11" s="36" t="inlineStr">
        <is>
          <t>Total revenue</t>
        </is>
      </c>
      <c r="B11" s="42">
        <f>SUM(B5:B10)</f>
        <v/>
      </c>
      <c r="C11" s="42">
        <f>SUM(C5:C10)</f>
        <v/>
      </c>
      <c r="D11" s="42">
        <f>SUM(D5:D10)</f>
        <v/>
      </c>
    </row>
    <row r="12" ht="15" customHeight="1" s="29">
      <c r="A12" s="31" t="inlineStr">
        <is>
          <t>Processing &amp; platform fees</t>
        </is>
      </c>
      <c r="B12" s="46">
        <f>B11*Assumptions!$B$14</f>
        <v/>
      </c>
      <c r="C12" s="46">
        <f>C11*Assumptions!$B$14</f>
        <v/>
      </c>
      <c r="D12" s="46">
        <f>D11*Assumptions!$B$14</f>
        <v/>
      </c>
    </row>
    <row r="13" ht="15" customHeight="1" s="29">
      <c r="A13" s="36" t="inlineStr">
        <is>
          <t>Net Revenue (rev-share basis)</t>
        </is>
      </c>
      <c r="B13" s="42">
        <f>B11-B12</f>
        <v/>
      </c>
      <c r="C13" s="42">
        <f>C11-C12</f>
        <v/>
      </c>
      <c r="D13" s="42">
        <f>D11-D12</f>
        <v/>
      </c>
    </row>
    <row r="14" ht="15" customHeight="1" s="29">
      <c r="A14" s="31" t="inlineStr">
        <is>
          <t>Fixed operating expenses</t>
        </is>
      </c>
      <c r="B14" s="43">
        <f>Assumptions!$B$38*12</f>
        <v/>
      </c>
      <c r="C14" s="46">
        <f>B14*(1+Assumptions!$B$49)</f>
        <v/>
      </c>
      <c r="D14" s="46">
        <f>C14*(1+Assumptions!$B$49)</f>
        <v/>
      </c>
    </row>
    <row r="15" ht="15" customHeight="1" s="29">
      <c r="A15" s="31" t="inlineStr">
        <is>
          <t>Start-up costs (expensed, year 1)</t>
        </is>
      </c>
      <c r="B15" s="43">
        <f>Assumptions!$B$25</f>
        <v/>
      </c>
      <c r="C15" s="46" t="n">
        <v>0</v>
      </c>
      <c r="D15" s="46" t="n">
        <v>0</v>
      </c>
    </row>
    <row r="16" ht="15" customHeight="1" s="29">
      <c r="A16" s="36" t="inlineStr">
        <is>
          <t>Business income before distributions</t>
        </is>
      </c>
      <c r="B16" s="42">
        <f>B13-B14-B15</f>
        <v/>
      </c>
      <c r="C16" s="42">
        <f>C13-C14-C15</f>
        <v/>
      </c>
      <c r="D16" s="42">
        <f>D13-D14-D15</f>
        <v/>
      </c>
    </row>
    <row r="17" ht="15" customHeight="1" s="29">
      <c r="A17" s="31" t="inlineStr">
        <is>
          <t>D. Chapa revenue-share distribution</t>
        </is>
      </c>
      <c r="B17" s="43">
        <f>'Revenue Share'!N11</f>
        <v/>
      </c>
      <c r="C17" s="46">
        <f>C13*Assumptions!$B$13</f>
        <v/>
      </c>
      <c r="D17" s="46">
        <f>D13*Assumptions!$B$13</f>
        <v/>
      </c>
    </row>
    <row r="18" ht="15" customHeight="1" s="29">
      <c r="A18" s="36" t="inlineStr">
        <is>
          <t>Retained by owner (S. Lund) after opex &amp; start-up</t>
        </is>
      </c>
      <c r="B18" s="42">
        <f>B16-B17</f>
        <v/>
      </c>
      <c r="C18" s="42">
        <f>C16-C17</f>
        <v/>
      </c>
      <c r="D18" s="42">
        <f>D16-D17</f>
        <v/>
      </c>
    </row>
    <row r="20" ht="15" customHeight="1" s="29">
      <c r="A20" s="41" t="inlineStr">
        <is>
          <t>Note: LLC pass-through — no entity-level income tax modeled; members handle self-employment/income tax individually. CPA review recommended.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D1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5390625" defaultRowHeight="15" zeroHeight="0" outlineLevelRow="0"/>
  <cols>
    <col width="40" customWidth="1" style="28" min="1" max="1"/>
    <col width="14" customWidth="1" style="28" min="2" max="4"/>
  </cols>
  <sheetData>
    <row r="1" ht="17.25" customHeight="1" s="29">
      <c r="A1" s="30" t="inlineStr">
        <is>
          <t>Three-Year Summary — The Daily Alaska, LLC</t>
        </is>
      </c>
    </row>
    <row r="2" ht="15" customHeight="1" s="29">
      <c r="A2" s="33" t="inlineStr">
        <is>
          <t>All figures flow from Assumptions and the Sales Forecast; change the scenario cell to flip the whole model.</t>
        </is>
      </c>
    </row>
    <row r="4" ht="15" customHeight="1" s="29">
      <c r="B4" s="44" t="inlineStr">
        <is>
          <t>Year 1 (FY27)</t>
        </is>
      </c>
      <c r="C4" s="44" t="inlineStr">
        <is>
          <t>Year 2 (FY28)</t>
        </is>
      </c>
      <c r="D4" s="44" t="inlineStr">
        <is>
          <t>Year 3 (FY29)</t>
        </is>
      </c>
    </row>
    <row r="5" ht="15" customHeight="1" s="29">
      <c r="A5" s="31" t="inlineStr">
        <is>
          <t>Total revenue</t>
        </is>
      </c>
      <c r="B5" s="43">
        <f>'7. Income Statement'!B11</f>
        <v/>
      </c>
      <c r="C5" s="43">
        <f>'7. Income Statement'!C11</f>
        <v/>
      </c>
      <c r="D5" s="43">
        <f>'7. Income Statement'!D11</f>
        <v/>
      </c>
    </row>
    <row r="6" ht="15" customHeight="1" s="29">
      <c r="A6" s="31" t="inlineStr">
        <is>
          <t>Net Revenue</t>
        </is>
      </c>
      <c r="B6" s="43">
        <f>'7. Income Statement'!B13</f>
        <v/>
      </c>
      <c r="C6" s="43">
        <f>'7. Income Statement'!C13</f>
        <v/>
      </c>
      <c r="D6" s="43">
        <f>'7. Income Statement'!D13</f>
        <v/>
      </c>
    </row>
    <row r="7" ht="15" customHeight="1" s="29">
      <c r="A7" s="31" t="inlineStr">
        <is>
          <t>Fixed operating expenses</t>
        </is>
      </c>
      <c r="B7" s="43">
        <f>'7. Income Statement'!B14</f>
        <v/>
      </c>
      <c r="C7" s="43">
        <f>'7. Income Statement'!C14</f>
        <v/>
      </c>
      <c r="D7" s="43">
        <f>'7. Income Statement'!D14</f>
        <v/>
      </c>
    </row>
    <row r="8" ht="15" customHeight="1" s="29">
      <c r="A8" s="36" t="inlineStr">
        <is>
          <t>Business income before distributions</t>
        </is>
      </c>
      <c r="B8" s="43">
        <f>'7. Income Statement'!B16</f>
        <v/>
      </c>
      <c r="C8" s="43">
        <f>'7. Income Statement'!C16</f>
        <v/>
      </c>
      <c r="D8" s="43">
        <f>'7. Income Statement'!D16</f>
        <v/>
      </c>
    </row>
    <row r="9" ht="15" customHeight="1" s="29">
      <c r="A9" s="36" t="inlineStr">
        <is>
          <t>D. Chapa distribution</t>
        </is>
      </c>
      <c r="B9" s="43">
        <f>'7. Income Statement'!B17</f>
        <v/>
      </c>
      <c r="C9" s="43">
        <f>'7. Income Statement'!C17</f>
        <v/>
      </c>
      <c r="D9" s="43">
        <f>'7. Income Statement'!D17</f>
        <v/>
      </c>
    </row>
    <row r="10" ht="15" customHeight="1" s="29">
      <c r="A10" s="31" t="inlineStr">
        <is>
          <t>Retained by owner (S. Lund)</t>
        </is>
      </c>
      <c r="B10" s="43">
        <f>'7. Income Statement'!B18</f>
        <v/>
      </c>
      <c r="C10" s="43">
        <f>'7. Income Statement'!C18</f>
        <v/>
      </c>
      <c r="D10" s="43">
        <f>'7. Income Statement'!D18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B1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5390625" defaultRowHeight="15" zeroHeight="0" outlineLevelRow="0"/>
  <cols>
    <col width="44" customWidth="1" style="28" min="1" max="1"/>
    <col width="16" customWidth="1" style="28" min="2" max="2"/>
  </cols>
  <sheetData>
    <row r="1" ht="17.25" customHeight="1" s="29">
      <c r="A1" s="30" t="inlineStr">
        <is>
          <t>Breakeven Analysis</t>
        </is>
      </c>
    </row>
    <row r="2" ht="15" customHeight="1" s="29">
      <c r="A2" s="33" t="inlineStr">
        <is>
          <t>Fixed costs vs. contribution margin. Variable cost = processing fees only; content labor sits in the rev-share, not COGS.</t>
        </is>
      </c>
    </row>
    <row r="4" ht="15" customHeight="1" s="29">
      <c r="A4" s="31" t="inlineStr">
        <is>
          <t>Monthly fixed operating expenses</t>
        </is>
      </c>
      <c r="B4" s="43">
        <f>Assumptions!$B$38</f>
        <v/>
      </c>
    </row>
    <row r="5" ht="15" customHeight="1" s="29">
      <c r="A5" s="31" t="inlineStr">
        <is>
          <t>Contribution margin (1 − fee %)</t>
        </is>
      </c>
      <c r="B5" s="47">
        <f>1-Assumptions!$B$14</f>
        <v/>
      </c>
    </row>
    <row r="6" ht="15" customHeight="1" s="29">
      <c r="A6" s="36" t="inlineStr">
        <is>
          <t>Breakeven gross revenue / month (covers opex)</t>
        </is>
      </c>
      <c r="B6" s="42">
        <f>B4/B5</f>
        <v/>
      </c>
    </row>
    <row r="7" ht="15" customHeight="1" s="29">
      <c r="A7" s="31" t="inlineStr">
        <is>
          <t>Breakeven incl. owner target draw of $2,000/mo</t>
        </is>
      </c>
      <c r="B7" s="46">
        <f>(B4+2000)/B5</f>
        <v/>
      </c>
    </row>
    <row r="9" ht="15" customHeight="1" s="29">
      <c r="A9" s="41" t="inlineStr">
        <is>
          <t>Interpretation: fixed costs are deliberately tiny (~$730/mo). The site breaks even on opex at roughly $750/mo of gross revenue —</t>
        </is>
      </c>
    </row>
    <row r="10" ht="15" customHeight="1" s="29">
      <c r="A10" s="41" t="inlineStr">
        <is>
          <t>about one direct-sold sponsorship. Everything above that funds the revenue-share pool.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D1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5390625" defaultRowHeight="15" zeroHeight="0" outlineLevelRow="0"/>
  <cols>
    <col width="44" customWidth="1" style="28" min="1" max="1"/>
    <col width="13" customWidth="1" style="28" min="2" max="4"/>
  </cols>
  <sheetData>
    <row r="1" ht="17.35" customHeight="1" s="29">
      <c r="A1" s="30" t="inlineStr">
        <is>
          <t>Financial Ratio Analysis</t>
        </is>
      </c>
    </row>
    <row r="3" ht="15" customHeight="1" s="29">
      <c r="B3" s="44" t="inlineStr">
        <is>
          <t>Year 1</t>
        </is>
      </c>
      <c r="C3" s="44" t="inlineStr">
        <is>
          <t>Year 2</t>
        </is>
      </c>
      <c r="D3" s="44" t="inlineStr">
        <is>
          <t>Year 3</t>
        </is>
      </c>
    </row>
    <row r="4" ht="15" customHeight="1" s="29">
      <c r="A4" s="31" t="inlineStr">
        <is>
          <t>Gross margin (Net Revenue / revenue)</t>
        </is>
      </c>
      <c r="B4" s="47">
        <f>'7. Income Statement'!B13/'7. Income Statement'!B11</f>
        <v/>
      </c>
      <c r="C4" s="47">
        <f>'7. Income Statement'!C13/'7. Income Statement'!C11</f>
        <v/>
      </c>
      <c r="D4" s="47">
        <f>'7. Income Statement'!D13/'7. Income Statement'!D11</f>
        <v/>
      </c>
    </row>
    <row r="5" ht="15" customHeight="1" s="29">
      <c r="A5" s="31" t="inlineStr">
        <is>
          <t>Fixed opex ratio (opex / revenue)</t>
        </is>
      </c>
      <c r="B5" s="47">
        <f>'7. Income Statement'!B14/'7. Income Statement'!B11</f>
        <v/>
      </c>
      <c r="C5" s="47">
        <f>'7. Income Statement'!C14/'7. Income Statement'!C11</f>
        <v/>
      </c>
      <c r="D5" s="47">
        <f>'7. Income Statement'!D14/'7. Income Statement'!D11</f>
        <v/>
      </c>
    </row>
    <row r="6" ht="15" customHeight="1" s="29">
      <c r="A6" s="36" t="inlineStr">
        <is>
          <t>Operating margin (pre-distribution income / revenue)</t>
        </is>
      </c>
      <c r="B6" s="47">
        <f>'7. Income Statement'!B16/'7. Income Statement'!B11</f>
        <v/>
      </c>
      <c r="C6" s="47">
        <f>'7. Income Statement'!C16/'7. Income Statement'!C11</f>
        <v/>
      </c>
      <c r="D6" s="47">
        <f>'7. Income Statement'!D16/'7. Income Statement'!D11</f>
        <v/>
      </c>
    </row>
    <row r="7" ht="15" customHeight="1" s="29">
      <c r="A7" s="31" t="inlineStr">
        <is>
          <t>GM share of Net Revenue</t>
        </is>
      </c>
      <c r="B7" s="47">
        <f>'7. Income Statement'!B17/'7. Income Statement'!B13</f>
        <v/>
      </c>
      <c r="C7" s="47">
        <f>'7. Income Statement'!C17/'7. Income Statement'!C13</f>
        <v/>
      </c>
      <c r="D7" s="47">
        <f>'7. Income Statement'!D17/'7. Income Statement'!D13</f>
        <v/>
      </c>
    </row>
    <row r="8" ht="15" customHeight="1" s="29">
      <c r="A8" s="31" t="inlineStr">
        <is>
          <t>Founder retained / revenue</t>
        </is>
      </c>
      <c r="B8" s="47">
        <f>'7. Income Statement'!B18/'7. Income Statement'!B11</f>
        <v/>
      </c>
      <c r="C8" s="47">
        <f>'7. Income Statement'!C18/'7. Income Statement'!C11</f>
        <v/>
      </c>
      <c r="D8" s="47">
        <f>'7. Income Statement'!D18/'7. Income Statement'!D11</f>
        <v/>
      </c>
    </row>
    <row r="10" ht="15" customHeight="1" s="29">
      <c r="A10" s="36" t="inlineStr">
        <is>
          <t>Revenue mix by line (% of total)</t>
        </is>
      </c>
    </row>
    <row r="11" ht="15" customHeight="1" s="29">
      <c r="A11" s="31" t="inlineStr">
        <is>
          <t>Political advertising</t>
        </is>
      </c>
      <c r="B11" s="47">
        <f>'7. Income Statement'!B5/'7. Income Statement'!B11</f>
        <v/>
      </c>
      <c r="C11" s="47">
        <f>'7. Income Statement'!C5/'7. Income Statement'!C11</f>
        <v/>
      </c>
      <c r="D11" s="47">
        <f>'7. Income Statement'!D5/'7. Income Statement'!D11</f>
        <v/>
      </c>
    </row>
    <row r="12" ht="15" customHeight="1" s="29">
      <c r="A12" s="31" t="inlineStr">
        <is>
          <t>Direct local ads &amp; sponsorships</t>
        </is>
      </c>
      <c r="B12" s="47">
        <f>'7. Income Statement'!B6/'7. Income Statement'!B11</f>
        <v/>
      </c>
      <c r="C12" s="47">
        <f>'7. Income Statement'!C6/'7. Income Statement'!C11</f>
        <v/>
      </c>
      <c r="D12" s="47">
        <f>'7. Income Statement'!D6/'7. Income Statement'!D11</f>
        <v/>
      </c>
    </row>
    <row r="13" ht="15" customHeight="1" s="29">
      <c r="A13" s="31" t="inlineStr">
        <is>
          <t>Programmatic display</t>
        </is>
      </c>
      <c r="B13" s="47">
        <f>'7. Income Statement'!B7/'7. Income Statement'!B11</f>
        <v/>
      </c>
      <c r="C13" s="47">
        <f>'7. Income Statement'!C7/'7. Income Statement'!C11</f>
        <v/>
      </c>
      <c r="D13" s="47">
        <f>'7. Income Statement'!D7/'7. Income Statement'!D11</f>
        <v/>
      </c>
    </row>
    <row r="14" ht="15" customHeight="1" s="29">
      <c r="A14" s="31" t="inlineStr">
        <is>
          <t>Sponsored content</t>
        </is>
      </c>
      <c r="B14" s="47">
        <f>'7. Income Statement'!B8/'7. Income Statement'!B11</f>
        <v/>
      </c>
      <c r="C14" s="47">
        <f>'7. Income Statement'!C8/'7. Income Statement'!C11</f>
        <v/>
      </c>
      <c r="D14" s="47">
        <f>'7. Income Statement'!D8/'7. Income Statement'!D11</f>
        <v/>
      </c>
    </row>
    <row r="15" ht="15" customHeight="1" s="29">
      <c r="A15" s="31" t="inlineStr">
        <is>
          <t>Events calendar</t>
        </is>
      </c>
      <c r="B15" s="47">
        <f>'7. Income Statement'!B9/'7. Income Statement'!B11</f>
        <v/>
      </c>
      <c r="C15" s="47">
        <f>'7. Income Statement'!C9/'7. Income Statement'!C11</f>
        <v/>
      </c>
      <c r="D15" s="47">
        <f>'7. Income Statement'!D9/'7. Income Statement'!D11</f>
        <v/>
      </c>
    </row>
    <row r="16" ht="15" customHeight="1" s="29">
      <c r="A16" s="31" t="inlineStr">
        <is>
          <t>Newsletter sponsorships</t>
        </is>
      </c>
      <c r="B16" s="47">
        <f>'7. Income Statement'!B10/'7. Income Statement'!B11</f>
        <v/>
      </c>
      <c r="C16" s="47">
        <f>'7. Income Statement'!C10/'7. Income Statement'!C11</f>
        <v/>
      </c>
      <c r="D16" s="47">
        <f>'7. Income Statement'!D10/'7. Income Statement'!D11</f>
        <v/>
      </c>
    </row>
    <row r="18" ht="15" customHeight="1" s="29">
      <c r="A18" s="41" t="inlineStr">
        <is>
          <t>Benchmarks: direct-sold share ≥ 40% by year 2 (healthy independence from programmatic); political ≤ 25% cycle-averaged (concentration guard); opex ratio falling as revenue scales.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2026-08-24T20:56:32Z</dcterms:created>
  <dcterms:modified xmlns:dcterms="http://purl.org/dc/terms/" xmlns:xsi="http://www.w3.org/2001/XMLSchema-instance" xsi:type="dcterms:W3CDTF">2026-08-25T16:46:21Z</dcterms:modified>
  <cp:revision>0</cp:revision>
</cp:coreProperties>
</file>